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Конкурс\05. Май\МСП_Р_Уборка\Документация\"/>
    </mc:Choice>
  </mc:AlternateContent>
  <xr:revisionPtr revIDLastSave="0" documentId="13_ncr:1_{64AFA987-ABF3-46D9-8ECC-4D3B64EE08C4}" xr6:coauthVersionLast="36" xr6:coauthVersionMax="36" xr10:uidLastSave="{00000000-0000-0000-0000-000000000000}"/>
  <bookViews>
    <workbookView xWindow="0" yWindow="0" windowWidth="21600" windowHeight="9525" xr2:uid="{00000000-000D-0000-FFFF-FFFF00000000}"/>
  </bookViews>
  <sheets>
    <sheet name="Уборка" sheetId="1" r:id="rId1"/>
  </sheets>
  <definedNames>
    <definedName name="_xlnm._FilterDatabase" localSheetId="0" hidden="1">Уборка!$A$5:$AZ$173</definedName>
    <definedName name="_xlnm.Print_Titles" localSheetId="0">Уборка!$8:$11</definedName>
  </definedNames>
  <calcPr calcId="191029"/>
</workbook>
</file>

<file path=xl/calcChain.xml><?xml version="1.0" encoding="utf-8"?>
<calcChain xmlns="http://schemas.openxmlformats.org/spreadsheetml/2006/main">
  <c r="AZ13" i="1" l="1"/>
  <c r="G19" i="1" l="1"/>
  <c r="E19" i="1"/>
  <c r="I19" i="1"/>
  <c r="K19" i="1"/>
  <c r="O19" i="1"/>
  <c r="Q19" i="1"/>
  <c r="S19" i="1"/>
  <c r="U19" i="1"/>
  <c r="W19" i="1"/>
  <c r="Y19" i="1"/>
  <c r="AA19" i="1"/>
  <c r="AC19" i="1"/>
  <c r="AE19" i="1"/>
  <c r="AG19" i="1"/>
  <c r="AI19" i="1"/>
  <c r="AK19" i="1"/>
  <c r="AM19" i="1"/>
  <c r="AO19" i="1"/>
  <c r="AU19" i="1"/>
  <c r="AW19" i="1" s="1"/>
  <c r="AX19" i="1"/>
  <c r="M19" i="1" l="1"/>
  <c r="AQ19" i="1" s="1"/>
  <c r="AL16" i="1"/>
  <c r="AP19" i="1" l="1"/>
  <c r="AY19" i="1" s="1"/>
  <c r="AZ19" i="1"/>
  <c r="E157" i="1"/>
  <c r="AM13" i="1" l="1"/>
  <c r="AM14" i="1"/>
  <c r="AM15" i="1"/>
  <c r="AM16" i="1"/>
  <c r="AM17" i="1"/>
  <c r="AM18" i="1"/>
  <c r="AM20" i="1"/>
  <c r="AM21" i="1"/>
  <c r="AM22" i="1"/>
  <c r="AM23" i="1"/>
  <c r="AM24" i="1"/>
  <c r="AM25" i="1"/>
  <c r="AM27" i="1"/>
  <c r="AM28" i="1"/>
  <c r="AM29" i="1"/>
  <c r="AM30" i="1"/>
  <c r="AM31" i="1"/>
  <c r="AM32" i="1"/>
  <c r="AM33" i="1"/>
  <c r="AM34" i="1"/>
  <c r="AM35" i="1"/>
  <c r="AM36" i="1"/>
  <c r="AM37" i="1"/>
  <c r="AM39" i="1"/>
  <c r="AM40" i="1"/>
  <c r="AM41" i="1"/>
  <c r="AM42" i="1"/>
  <c r="AM43" i="1"/>
  <c r="AM44" i="1"/>
  <c r="AM45" i="1"/>
  <c r="AM46" i="1"/>
  <c r="AM47" i="1"/>
  <c r="AM48" i="1"/>
  <c r="AM49" i="1"/>
  <c r="AM51" i="1"/>
  <c r="AM52" i="1"/>
  <c r="AM53" i="1"/>
  <c r="AM54" i="1"/>
  <c r="AM55" i="1"/>
  <c r="AM56" i="1"/>
  <c r="AM57" i="1"/>
  <c r="AM58" i="1"/>
  <c r="AM61" i="1"/>
  <c r="AM62" i="1"/>
  <c r="AM63" i="1"/>
  <c r="AM65" i="1"/>
  <c r="AM66" i="1"/>
  <c r="AM67" i="1"/>
  <c r="AM68" i="1"/>
  <c r="AM69" i="1"/>
  <c r="AM70" i="1"/>
  <c r="AM71" i="1"/>
  <c r="AM72" i="1"/>
  <c r="AM73" i="1"/>
  <c r="AM74" i="1"/>
  <c r="AM76" i="1"/>
  <c r="AM77" i="1"/>
  <c r="AM78" i="1"/>
  <c r="AM79" i="1"/>
  <c r="AM82" i="1"/>
  <c r="AM83" i="1"/>
  <c r="AM85" i="1"/>
  <c r="AM86" i="1"/>
  <c r="AM87" i="1"/>
  <c r="AM88" i="1"/>
  <c r="AM89" i="1"/>
  <c r="AM90" i="1"/>
  <c r="AM91" i="1"/>
  <c r="AM92" i="1"/>
  <c r="AM95" i="1"/>
  <c r="AM96" i="1"/>
  <c r="AM97" i="1"/>
  <c r="AM98" i="1"/>
  <c r="AM99" i="1"/>
  <c r="AM100" i="1"/>
  <c r="AM102" i="1"/>
  <c r="AM103" i="1"/>
  <c r="AM104" i="1"/>
  <c r="AM106" i="1"/>
  <c r="AM107" i="1"/>
  <c r="AM108" i="1"/>
  <c r="AM111" i="1"/>
  <c r="AM112" i="1"/>
  <c r="AM113" i="1"/>
  <c r="AM114" i="1"/>
  <c r="AM115" i="1"/>
  <c r="AM117" i="1"/>
  <c r="AM118" i="1"/>
  <c r="AM119" i="1"/>
  <c r="AM121" i="1"/>
  <c r="AM123" i="1"/>
  <c r="AM125" i="1"/>
  <c r="AM127" i="1"/>
  <c r="AM129" i="1"/>
  <c r="AM131" i="1"/>
  <c r="AM133" i="1"/>
  <c r="AM134" i="1"/>
  <c r="AM136" i="1"/>
  <c r="AM137" i="1"/>
  <c r="AM138" i="1"/>
  <c r="AM139" i="1"/>
  <c r="AM141" i="1"/>
  <c r="AM142" i="1"/>
  <c r="AM143" i="1"/>
  <c r="AM145" i="1"/>
  <c r="AM146" i="1"/>
  <c r="AM147" i="1"/>
  <c r="AM148" i="1"/>
  <c r="AM150" i="1"/>
  <c r="AM151" i="1"/>
  <c r="AM153" i="1"/>
  <c r="AM154" i="1"/>
  <c r="AM156" i="1"/>
  <c r="AM157" i="1"/>
  <c r="AM158" i="1"/>
  <c r="AM159" i="1"/>
  <c r="AM160" i="1"/>
  <c r="AM161" i="1"/>
  <c r="AM162" i="1"/>
  <c r="AM163" i="1"/>
  <c r="AM164" i="1"/>
  <c r="AM165" i="1"/>
  <c r="AM166" i="1"/>
  <c r="AM168" i="1"/>
  <c r="AM169" i="1"/>
  <c r="AM170" i="1"/>
  <c r="AM171" i="1"/>
  <c r="AM172" i="1"/>
  <c r="E13" i="1" l="1"/>
  <c r="E14" i="1"/>
  <c r="E15" i="1"/>
  <c r="E20" i="1"/>
  <c r="E21" i="1"/>
  <c r="E22" i="1"/>
  <c r="E23" i="1"/>
  <c r="E25" i="1"/>
  <c r="E27" i="1"/>
  <c r="E28" i="1"/>
  <c r="E29" i="1"/>
  <c r="E30" i="1"/>
  <c r="E31" i="1"/>
  <c r="E32" i="1"/>
  <c r="E33" i="1"/>
  <c r="E34" i="1"/>
  <c r="E35" i="1"/>
  <c r="E36" i="1"/>
  <c r="E37" i="1"/>
  <c r="E41" i="1"/>
  <c r="E42" i="1"/>
  <c r="E44" i="1"/>
  <c r="E46" i="1"/>
  <c r="E47" i="1"/>
  <c r="E48" i="1"/>
  <c r="E49" i="1"/>
  <c r="E51" i="1"/>
  <c r="E58" i="1"/>
  <c r="E61" i="1"/>
  <c r="E63" i="1"/>
  <c r="E68" i="1"/>
  <c r="E70" i="1"/>
  <c r="E71" i="1"/>
  <c r="E72" i="1"/>
  <c r="E73" i="1"/>
  <c r="E74" i="1"/>
  <c r="E77" i="1"/>
  <c r="E79" i="1"/>
  <c r="E90" i="1"/>
  <c r="E91" i="1"/>
  <c r="E92" i="1"/>
  <c r="E96" i="1"/>
  <c r="E97" i="1"/>
  <c r="E99" i="1"/>
  <c r="E100" i="1"/>
  <c r="E102" i="1"/>
  <c r="E103" i="1"/>
  <c r="E104" i="1"/>
  <c r="E108" i="1"/>
  <c r="E111" i="1"/>
  <c r="E112" i="1"/>
  <c r="E113" i="1"/>
  <c r="E114" i="1"/>
  <c r="E115" i="1"/>
  <c r="E117" i="1"/>
  <c r="E118" i="1"/>
  <c r="E119" i="1"/>
  <c r="E121" i="1"/>
  <c r="E123" i="1"/>
  <c r="E127" i="1"/>
  <c r="E129" i="1"/>
  <c r="E133" i="1"/>
  <c r="E134" i="1"/>
  <c r="E136" i="1"/>
  <c r="E137" i="1"/>
  <c r="E138" i="1"/>
  <c r="E141" i="1"/>
  <c r="E142" i="1"/>
  <c r="E143" i="1"/>
  <c r="E145" i="1"/>
  <c r="E146" i="1"/>
  <c r="E147" i="1"/>
  <c r="E151" i="1"/>
  <c r="E153" i="1"/>
  <c r="E154" i="1"/>
  <c r="E156" i="1"/>
  <c r="E158" i="1"/>
  <c r="E161" i="1"/>
  <c r="E166" i="1"/>
  <c r="E168" i="1"/>
  <c r="E169" i="1"/>
  <c r="E170" i="1"/>
  <c r="E171" i="1"/>
  <c r="E172" i="1"/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U13" i="1" l="1"/>
  <c r="AU14" i="1"/>
  <c r="AU15" i="1"/>
  <c r="AU16" i="1"/>
  <c r="AU17" i="1"/>
  <c r="AU18" i="1"/>
  <c r="AU20" i="1"/>
  <c r="AU21" i="1"/>
  <c r="AU22" i="1"/>
  <c r="AU23" i="1"/>
  <c r="AU24" i="1"/>
  <c r="AU25" i="1"/>
  <c r="AU27" i="1"/>
  <c r="AU28" i="1"/>
  <c r="AU29" i="1"/>
  <c r="AU30" i="1"/>
  <c r="AU31" i="1"/>
  <c r="AU32" i="1"/>
  <c r="AU33" i="1"/>
  <c r="AU34" i="1"/>
  <c r="AU35" i="1"/>
  <c r="AU36" i="1"/>
  <c r="AU37" i="1"/>
  <c r="AU39" i="1"/>
  <c r="AU40" i="1"/>
  <c r="AU41" i="1"/>
  <c r="AU42" i="1"/>
  <c r="AU43" i="1"/>
  <c r="AU44" i="1"/>
  <c r="AU45" i="1"/>
  <c r="AU46" i="1"/>
  <c r="AU47" i="1"/>
  <c r="AU48" i="1"/>
  <c r="AU49" i="1"/>
  <c r="AU51" i="1"/>
  <c r="AU52" i="1"/>
  <c r="AU53" i="1"/>
  <c r="AU54" i="1"/>
  <c r="AU55" i="1"/>
  <c r="AU56" i="1"/>
  <c r="AU57" i="1"/>
  <c r="AU58" i="1"/>
  <c r="AU61" i="1"/>
  <c r="AU62" i="1"/>
  <c r="AU63" i="1"/>
  <c r="AU65" i="1"/>
  <c r="AU66" i="1"/>
  <c r="AU67" i="1"/>
  <c r="AU68" i="1"/>
  <c r="AU69" i="1"/>
  <c r="AU70" i="1"/>
  <c r="AU71" i="1"/>
  <c r="AU72" i="1"/>
  <c r="AU73" i="1"/>
  <c r="AU74" i="1"/>
  <c r="AU76" i="1"/>
  <c r="AU77" i="1"/>
  <c r="AU78" i="1"/>
  <c r="AU79" i="1"/>
  <c r="AU82" i="1"/>
  <c r="AU83" i="1"/>
  <c r="AU85" i="1"/>
  <c r="AU86" i="1"/>
  <c r="AU87" i="1"/>
  <c r="AU88" i="1"/>
  <c r="AU89" i="1"/>
  <c r="AU90" i="1"/>
  <c r="AU91" i="1"/>
  <c r="AU92" i="1"/>
  <c r="AU95" i="1"/>
  <c r="AU96" i="1"/>
  <c r="AU97" i="1"/>
  <c r="AU98" i="1"/>
  <c r="AU99" i="1"/>
  <c r="AU100" i="1"/>
  <c r="AU102" i="1"/>
  <c r="AU103" i="1"/>
  <c r="AU104" i="1"/>
  <c r="AU106" i="1"/>
  <c r="AU107" i="1"/>
  <c r="AU108" i="1"/>
  <c r="AU111" i="1"/>
  <c r="AU112" i="1"/>
  <c r="AU113" i="1"/>
  <c r="AU114" i="1"/>
  <c r="AU115" i="1"/>
  <c r="AU117" i="1"/>
  <c r="AU118" i="1"/>
  <c r="AU119" i="1"/>
  <c r="AU121" i="1"/>
  <c r="AU123" i="1"/>
  <c r="AU125" i="1"/>
  <c r="AU127" i="1"/>
  <c r="AU129" i="1"/>
  <c r="AU131" i="1"/>
  <c r="AU133" i="1"/>
  <c r="AU134" i="1"/>
  <c r="AU136" i="1"/>
  <c r="AU137" i="1"/>
  <c r="AU138" i="1"/>
  <c r="AU139" i="1"/>
  <c r="AU141" i="1"/>
  <c r="AU142" i="1"/>
  <c r="AU143" i="1"/>
  <c r="AU145" i="1"/>
  <c r="AU146" i="1"/>
  <c r="AU147" i="1"/>
  <c r="AU148" i="1"/>
  <c r="AU150" i="1"/>
  <c r="AU151" i="1"/>
  <c r="AU153" i="1"/>
  <c r="AU154" i="1"/>
  <c r="AU156" i="1"/>
  <c r="AU157" i="1"/>
  <c r="AU158" i="1"/>
  <c r="AU159" i="1"/>
  <c r="AU160" i="1"/>
  <c r="AU161" i="1"/>
  <c r="AU162" i="1"/>
  <c r="AU163" i="1"/>
  <c r="AU164" i="1"/>
  <c r="AU165" i="1"/>
  <c r="AU166" i="1"/>
  <c r="AU168" i="1"/>
  <c r="AU169" i="1"/>
  <c r="AU170" i="1"/>
  <c r="AU171" i="1"/>
  <c r="AU172" i="1"/>
  <c r="AI13" i="1"/>
  <c r="AI14" i="1"/>
  <c r="AI15" i="1"/>
  <c r="AI16" i="1"/>
  <c r="AI17" i="1"/>
  <c r="AI18" i="1"/>
  <c r="AI20" i="1"/>
  <c r="AI21" i="1"/>
  <c r="AI22" i="1"/>
  <c r="AI23" i="1"/>
  <c r="AI24" i="1"/>
  <c r="AI25" i="1"/>
  <c r="AI27" i="1"/>
  <c r="AI28" i="1"/>
  <c r="AI29" i="1"/>
  <c r="AI30" i="1"/>
  <c r="AI31" i="1"/>
  <c r="AI32" i="1"/>
  <c r="AI33" i="1"/>
  <c r="AI34" i="1"/>
  <c r="AI35" i="1"/>
  <c r="AI36" i="1"/>
  <c r="AI37" i="1"/>
  <c r="AI39" i="1"/>
  <c r="AI40" i="1"/>
  <c r="AI41" i="1"/>
  <c r="AI42" i="1"/>
  <c r="AI43" i="1"/>
  <c r="AI44" i="1"/>
  <c r="AI45" i="1"/>
  <c r="AI46" i="1"/>
  <c r="AI47" i="1"/>
  <c r="AI48" i="1"/>
  <c r="AI49" i="1"/>
  <c r="AI51" i="1"/>
  <c r="AI52" i="1"/>
  <c r="AI53" i="1"/>
  <c r="AI54" i="1"/>
  <c r="AI55" i="1"/>
  <c r="AI56" i="1"/>
  <c r="AI57" i="1"/>
  <c r="AI58" i="1"/>
  <c r="AI61" i="1"/>
  <c r="AI62" i="1"/>
  <c r="AI63" i="1"/>
  <c r="AI65" i="1"/>
  <c r="AI66" i="1"/>
  <c r="AI67" i="1"/>
  <c r="AI68" i="1"/>
  <c r="AI69" i="1"/>
  <c r="AI70" i="1"/>
  <c r="AI71" i="1"/>
  <c r="AI72" i="1"/>
  <c r="AI73" i="1"/>
  <c r="AI74" i="1"/>
  <c r="AI76" i="1"/>
  <c r="AI77" i="1"/>
  <c r="AI78" i="1"/>
  <c r="AI79" i="1"/>
  <c r="AI82" i="1"/>
  <c r="AI83" i="1"/>
  <c r="AI85" i="1"/>
  <c r="AI86" i="1"/>
  <c r="AI87" i="1"/>
  <c r="AI88" i="1"/>
  <c r="AI89" i="1"/>
  <c r="AI90" i="1"/>
  <c r="AI91" i="1"/>
  <c r="AI92" i="1"/>
  <c r="AI95" i="1"/>
  <c r="AI96" i="1"/>
  <c r="AI97" i="1"/>
  <c r="AI98" i="1"/>
  <c r="AI99" i="1"/>
  <c r="AI100" i="1"/>
  <c r="AI102" i="1"/>
  <c r="AI103" i="1"/>
  <c r="AI104" i="1"/>
  <c r="AI106" i="1"/>
  <c r="AI107" i="1"/>
  <c r="AI108" i="1"/>
  <c r="AI111" i="1"/>
  <c r="AI112" i="1"/>
  <c r="AI113" i="1"/>
  <c r="AI114" i="1"/>
  <c r="AI115" i="1"/>
  <c r="AI117" i="1"/>
  <c r="AI118" i="1"/>
  <c r="AI119" i="1"/>
  <c r="AI121" i="1"/>
  <c r="AI123" i="1"/>
  <c r="AI125" i="1"/>
  <c r="AI127" i="1"/>
  <c r="AI129" i="1"/>
  <c r="AI131" i="1"/>
  <c r="AI133" i="1"/>
  <c r="AI134" i="1"/>
  <c r="AI136" i="1"/>
  <c r="AI137" i="1"/>
  <c r="AI138" i="1"/>
  <c r="AI139" i="1"/>
  <c r="AI141" i="1"/>
  <c r="AI142" i="1"/>
  <c r="AI143" i="1"/>
  <c r="AI145" i="1"/>
  <c r="AI146" i="1"/>
  <c r="AI147" i="1"/>
  <c r="AI148" i="1"/>
  <c r="AI150" i="1"/>
  <c r="AI151" i="1"/>
  <c r="AI153" i="1"/>
  <c r="AI154" i="1"/>
  <c r="AI156" i="1"/>
  <c r="AI157" i="1"/>
  <c r="AI158" i="1"/>
  <c r="AI159" i="1"/>
  <c r="AI160" i="1"/>
  <c r="AI161" i="1"/>
  <c r="AI162" i="1"/>
  <c r="AI163" i="1"/>
  <c r="AI164" i="1"/>
  <c r="AI165" i="1"/>
  <c r="AI166" i="1"/>
  <c r="AI168" i="1"/>
  <c r="AI169" i="1"/>
  <c r="AI170" i="1"/>
  <c r="AI171" i="1"/>
  <c r="AI172" i="1"/>
  <c r="AE13" i="1"/>
  <c r="AE14" i="1"/>
  <c r="AE15" i="1"/>
  <c r="AE16" i="1"/>
  <c r="AE17" i="1"/>
  <c r="AE18" i="1"/>
  <c r="AE20" i="1"/>
  <c r="AE21" i="1"/>
  <c r="AE22" i="1"/>
  <c r="AE23" i="1"/>
  <c r="AE24" i="1"/>
  <c r="AE25" i="1"/>
  <c r="AE27" i="1"/>
  <c r="AE28" i="1"/>
  <c r="AE29" i="1"/>
  <c r="AE30" i="1"/>
  <c r="AE31" i="1"/>
  <c r="AE32" i="1"/>
  <c r="AE33" i="1"/>
  <c r="AE34" i="1"/>
  <c r="AE35" i="1"/>
  <c r="AE36" i="1"/>
  <c r="AE37" i="1"/>
  <c r="AE39" i="1"/>
  <c r="AE40" i="1"/>
  <c r="AE41" i="1"/>
  <c r="AE42" i="1"/>
  <c r="AE43" i="1"/>
  <c r="AE44" i="1"/>
  <c r="AE45" i="1"/>
  <c r="AE46" i="1"/>
  <c r="AE47" i="1"/>
  <c r="AE48" i="1"/>
  <c r="AE49" i="1"/>
  <c r="AE51" i="1"/>
  <c r="AE52" i="1"/>
  <c r="AE53" i="1"/>
  <c r="AE54" i="1"/>
  <c r="AE55" i="1"/>
  <c r="AE56" i="1"/>
  <c r="AE57" i="1"/>
  <c r="AE58" i="1"/>
  <c r="AE61" i="1"/>
  <c r="AE62" i="1"/>
  <c r="AE63" i="1"/>
  <c r="AE65" i="1"/>
  <c r="AE66" i="1"/>
  <c r="AE67" i="1"/>
  <c r="AE68" i="1"/>
  <c r="AE69" i="1"/>
  <c r="AE70" i="1"/>
  <c r="AE71" i="1"/>
  <c r="AE72" i="1"/>
  <c r="AE73" i="1"/>
  <c r="AE74" i="1"/>
  <c r="AE76" i="1"/>
  <c r="AE77" i="1"/>
  <c r="AE78" i="1"/>
  <c r="AE79" i="1"/>
  <c r="AE82" i="1"/>
  <c r="AE83" i="1"/>
  <c r="AE85" i="1"/>
  <c r="AE86" i="1"/>
  <c r="AE87" i="1"/>
  <c r="AE88" i="1"/>
  <c r="AE89" i="1"/>
  <c r="AE90" i="1"/>
  <c r="AE91" i="1"/>
  <c r="AE92" i="1"/>
  <c r="AE95" i="1"/>
  <c r="AE96" i="1"/>
  <c r="AE97" i="1"/>
  <c r="AE98" i="1"/>
  <c r="AE99" i="1"/>
  <c r="AE100" i="1"/>
  <c r="AE102" i="1"/>
  <c r="AE103" i="1"/>
  <c r="AE104" i="1"/>
  <c r="AE106" i="1"/>
  <c r="AE107" i="1"/>
  <c r="AE108" i="1"/>
  <c r="AE111" i="1"/>
  <c r="AE112" i="1"/>
  <c r="AE113" i="1"/>
  <c r="AE114" i="1"/>
  <c r="AE115" i="1"/>
  <c r="AE117" i="1"/>
  <c r="AE118" i="1"/>
  <c r="AE119" i="1"/>
  <c r="AE121" i="1"/>
  <c r="AE123" i="1"/>
  <c r="AE125" i="1"/>
  <c r="AE127" i="1"/>
  <c r="AE129" i="1"/>
  <c r="AE131" i="1"/>
  <c r="AE133" i="1"/>
  <c r="AE134" i="1"/>
  <c r="AE136" i="1"/>
  <c r="AE137" i="1"/>
  <c r="AE138" i="1"/>
  <c r="AE139" i="1"/>
  <c r="AE141" i="1"/>
  <c r="AE142" i="1"/>
  <c r="AE143" i="1"/>
  <c r="AE145" i="1"/>
  <c r="AE146" i="1"/>
  <c r="AE147" i="1"/>
  <c r="AE148" i="1"/>
  <c r="AE150" i="1"/>
  <c r="AE151" i="1"/>
  <c r="AE153" i="1"/>
  <c r="AE154" i="1"/>
  <c r="AE156" i="1"/>
  <c r="AE157" i="1"/>
  <c r="AE158" i="1"/>
  <c r="AE159" i="1"/>
  <c r="AE160" i="1"/>
  <c r="AE161" i="1"/>
  <c r="AE162" i="1"/>
  <c r="AE163" i="1"/>
  <c r="AE164" i="1"/>
  <c r="AE165" i="1"/>
  <c r="AE166" i="1"/>
  <c r="AE168" i="1"/>
  <c r="AE169" i="1"/>
  <c r="AE170" i="1"/>
  <c r="AE171" i="1"/>
  <c r="AE172" i="1"/>
  <c r="AA13" i="1"/>
  <c r="AA14" i="1"/>
  <c r="AA15" i="1"/>
  <c r="AA16" i="1"/>
  <c r="AA17" i="1"/>
  <c r="AA18" i="1"/>
  <c r="AA20" i="1"/>
  <c r="AA21" i="1"/>
  <c r="AA22" i="1"/>
  <c r="AA23" i="1"/>
  <c r="AA24" i="1"/>
  <c r="AA25" i="1"/>
  <c r="AA27" i="1"/>
  <c r="AA28" i="1"/>
  <c r="AA29" i="1"/>
  <c r="AA30" i="1"/>
  <c r="AA31" i="1"/>
  <c r="AA32" i="1"/>
  <c r="AA33" i="1"/>
  <c r="AA34" i="1"/>
  <c r="AA35" i="1"/>
  <c r="AA36" i="1"/>
  <c r="AA37" i="1"/>
  <c r="AA39" i="1"/>
  <c r="AA40" i="1"/>
  <c r="AA41" i="1"/>
  <c r="AA42" i="1"/>
  <c r="AA43" i="1"/>
  <c r="AA44" i="1"/>
  <c r="AA45" i="1"/>
  <c r="AA46" i="1"/>
  <c r="AA47" i="1"/>
  <c r="AA48" i="1"/>
  <c r="AA49" i="1"/>
  <c r="AA51" i="1"/>
  <c r="AA52" i="1"/>
  <c r="AA53" i="1"/>
  <c r="AA54" i="1"/>
  <c r="AA55" i="1"/>
  <c r="AA56" i="1"/>
  <c r="AA57" i="1"/>
  <c r="AA58" i="1"/>
  <c r="AA61" i="1"/>
  <c r="AA62" i="1"/>
  <c r="AA63" i="1"/>
  <c r="AA65" i="1"/>
  <c r="AA66" i="1"/>
  <c r="AA67" i="1"/>
  <c r="AA68" i="1"/>
  <c r="AA69" i="1"/>
  <c r="AA70" i="1"/>
  <c r="AA71" i="1"/>
  <c r="AA72" i="1"/>
  <c r="AA73" i="1"/>
  <c r="AA74" i="1"/>
  <c r="AA76" i="1"/>
  <c r="AA77" i="1"/>
  <c r="AA78" i="1"/>
  <c r="AA79" i="1"/>
  <c r="AA82" i="1"/>
  <c r="AA83" i="1"/>
  <c r="AA85" i="1"/>
  <c r="AA86" i="1"/>
  <c r="AA87" i="1"/>
  <c r="AA88" i="1"/>
  <c r="AA89" i="1"/>
  <c r="AA90" i="1"/>
  <c r="AA91" i="1"/>
  <c r="AA92" i="1"/>
  <c r="AA95" i="1"/>
  <c r="AA96" i="1"/>
  <c r="AA97" i="1"/>
  <c r="AA98" i="1"/>
  <c r="AA99" i="1"/>
  <c r="AA100" i="1"/>
  <c r="AA102" i="1"/>
  <c r="AA103" i="1"/>
  <c r="AA104" i="1"/>
  <c r="AA106" i="1"/>
  <c r="AA107" i="1"/>
  <c r="AA108" i="1"/>
  <c r="AA111" i="1"/>
  <c r="AA112" i="1"/>
  <c r="AA113" i="1"/>
  <c r="AA114" i="1"/>
  <c r="AA115" i="1"/>
  <c r="AA117" i="1"/>
  <c r="AA118" i="1"/>
  <c r="AA119" i="1"/>
  <c r="AA121" i="1"/>
  <c r="AA123" i="1"/>
  <c r="AA125" i="1"/>
  <c r="AA127" i="1"/>
  <c r="AA129" i="1"/>
  <c r="AA131" i="1"/>
  <c r="AA133" i="1"/>
  <c r="AA134" i="1"/>
  <c r="AA136" i="1"/>
  <c r="AA137" i="1"/>
  <c r="AA138" i="1"/>
  <c r="AA139" i="1"/>
  <c r="AA141" i="1"/>
  <c r="AA142" i="1"/>
  <c r="AA143" i="1"/>
  <c r="AA145" i="1"/>
  <c r="AA146" i="1"/>
  <c r="AA147" i="1"/>
  <c r="AA148" i="1"/>
  <c r="AA150" i="1"/>
  <c r="AA151" i="1"/>
  <c r="AA153" i="1"/>
  <c r="AA154" i="1"/>
  <c r="AA156" i="1"/>
  <c r="AA157" i="1"/>
  <c r="AA158" i="1"/>
  <c r="AA159" i="1"/>
  <c r="AA160" i="1"/>
  <c r="AA161" i="1"/>
  <c r="AA162" i="1"/>
  <c r="AA163" i="1"/>
  <c r="AA164" i="1"/>
  <c r="AA165" i="1"/>
  <c r="AA166" i="1"/>
  <c r="AA168" i="1"/>
  <c r="AA169" i="1"/>
  <c r="AA170" i="1"/>
  <c r="AA171" i="1"/>
  <c r="AA172" i="1"/>
  <c r="W165" i="1"/>
  <c r="W166" i="1"/>
  <c r="W168" i="1"/>
  <c r="W169" i="1"/>
  <c r="W170" i="1"/>
  <c r="W171" i="1"/>
  <c r="W172" i="1"/>
  <c r="W13" i="1"/>
  <c r="W14" i="1"/>
  <c r="W15" i="1"/>
  <c r="W16" i="1"/>
  <c r="W17" i="1"/>
  <c r="W18" i="1"/>
  <c r="W20" i="1"/>
  <c r="W21" i="1"/>
  <c r="W22" i="1"/>
  <c r="W23" i="1"/>
  <c r="W24" i="1"/>
  <c r="W25" i="1"/>
  <c r="W27" i="1"/>
  <c r="W28" i="1"/>
  <c r="W29" i="1"/>
  <c r="W30" i="1"/>
  <c r="W31" i="1"/>
  <c r="W32" i="1"/>
  <c r="W33" i="1"/>
  <c r="W34" i="1"/>
  <c r="W35" i="1"/>
  <c r="W36" i="1"/>
  <c r="W37" i="1"/>
  <c r="W39" i="1"/>
  <c r="W40" i="1"/>
  <c r="W41" i="1"/>
  <c r="W42" i="1"/>
  <c r="W43" i="1"/>
  <c r="W44" i="1"/>
  <c r="W45" i="1"/>
  <c r="W46" i="1"/>
  <c r="W47" i="1"/>
  <c r="W48" i="1"/>
  <c r="W49" i="1"/>
  <c r="W51" i="1"/>
  <c r="W52" i="1"/>
  <c r="W53" i="1"/>
  <c r="W54" i="1"/>
  <c r="W55" i="1"/>
  <c r="W56" i="1"/>
  <c r="W57" i="1"/>
  <c r="W58" i="1"/>
  <c r="W61" i="1"/>
  <c r="W62" i="1"/>
  <c r="W63" i="1"/>
  <c r="W65" i="1"/>
  <c r="W66" i="1"/>
  <c r="W67" i="1"/>
  <c r="W68" i="1"/>
  <c r="W69" i="1"/>
  <c r="W70" i="1"/>
  <c r="W71" i="1"/>
  <c r="W72" i="1"/>
  <c r="W73" i="1"/>
  <c r="W74" i="1"/>
  <c r="W76" i="1"/>
  <c r="W77" i="1"/>
  <c r="W78" i="1"/>
  <c r="W79" i="1"/>
  <c r="W82" i="1"/>
  <c r="W83" i="1"/>
  <c r="W85" i="1"/>
  <c r="W86" i="1"/>
  <c r="W87" i="1"/>
  <c r="W88" i="1"/>
  <c r="W89" i="1"/>
  <c r="W90" i="1"/>
  <c r="W91" i="1"/>
  <c r="W92" i="1"/>
  <c r="W95" i="1"/>
  <c r="W96" i="1"/>
  <c r="W97" i="1"/>
  <c r="W98" i="1"/>
  <c r="W99" i="1"/>
  <c r="W100" i="1"/>
  <c r="W102" i="1"/>
  <c r="W103" i="1"/>
  <c r="W104" i="1"/>
  <c r="W106" i="1"/>
  <c r="W107" i="1"/>
  <c r="W108" i="1"/>
  <c r="W111" i="1"/>
  <c r="W112" i="1"/>
  <c r="W113" i="1"/>
  <c r="W114" i="1"/>
  <c r="W115" i="1"/>
  <c r="W117" i="1"/>
  <c r="W118" i="1"/>
  <c r="W119" i="1"/>
  <c r="W121" i="1"/>
  <c r="W123" i="1"/>
  <c r="W125" i="1"/>
  <c r="W127" i="1"/>
  <c r="W129" i="1"/>
  <c r="W131" i="1"/>
  <c r="W133" i="1"/>
  <c r="W134" i="1"/>
  <c r="W136" i="1"/>
  <c r="W137" i="1"/>
  <c r="W138" i="1"/>
  <c r="W139" i="1"/>
  <c r="W141" i="1"/>
  <c r="W142" i="1"/>
  <c r="W143" i="1"/>
  <c r="W145" i="1"/>
  <c r="W146" i="1"/>
  <c r="W147" i="1"/>
  <c r="W148" i="1"/>
  <c r="W150" i="1"/>
  <c r="W151" i="1"/>
  <c r="W153" i="1"/>
  <c r="W154" i="1"/>
  <c r="W156" i="1"/>
  <c r="W157" i="1"/>
  <c r="W158" i="1"/>
  <c r="W159" i="1"/>
  <c r="W160" i="1"/>
  <c r="W161" i="1"/>
  <c r="W162" i="1"/>
  <c r="W163" i="1"/>
  <c r="W164" i="1"/>
  <c r="O13" i="1"/>
  <c r="O14" i="1"/>
  <c r="O15" i="1"/>
  <c r="O16" i="1"/>
  <c r="O17" i="1"/>
  <c r="O18" i="1"/>
  <c r="O20" i="1"/>
  <c r="O21" i="1"/>
  <c r="O22" i="1"/>
  <c r="O23" i="1"/>
  <c r="O24" i="1"/>
  <c r="O25" i="1"/>
  <c r="O27" i="1"/>
  <c r="O28" i="1"/>
  <c r="O29" i="1"/>
  <c r="O30" i="1"/>
  <c r="O31" i="1"/>
  <c r="O32" i="1"/>
  <c r="O33" i="1"/>
  <c r="O34" i="1"/>
  <c r="O35" i="1"/>
  <c r="O36" i="1"/>
  <c r="O37" i="1"/>
  <c r="O39" i="1"/>
  <c r="O40" i="1"/>
  <c r="O41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7" i="1"/>
  <c r="O58" i="1"/>
  <c r="O61" i="1"/>
  <c r="O62" i="1"/>
  <c r="O63" i="1"/>
  <c r="O65" i="1"/>
  <c r="O66" i="1"/>
  <c r="O67" i="1"/>
  <c r="O68" i="1"/>
  <c r="O69" i="1"/>
  <c r="O70" i="1"/>
  <c r="O71" i="1"/>
  <c r="O72" i="1"/>
  <c r="O73" i="1"/>
  <c r="O74" i="1"/>
  <c r="O76" i="1"/>
  <c r="O77" i="1"/>
  <c r="O78" i="1"/>
  <c r="O79" i="1"/>
  <c r="O82" i="1"/>
  <c r="O83" i="1"/>
  <c r="O85" i="1"/>
  <c r="O86" i="1"/>
  <c r="O87" i="1"/>
  <c r="O88" i="1"/>
  <c r="O89" i="1"/>
  <c r="O90" i="1"/>
  <c r="O91" i="1"/>
  <c r="O92" i="1"/>
  <c r="O95" i="1"/>
  <c r="O96" i="1"/>
  <c r="O97" i="1"/>
  <c r="O98" i="1"/>
  <c r="O99" i="1"/>
  <c r="O100" i="1"/>
  <c r="O102" i="1"/>
  <c r="O103" i="1"/>
  <c r="O104" i="1"/>
  <c r="O106" i="1"/>
  <c r="O107" i="1"/>
  <c r="O108" i="1"/>
  <c r="O111" i="1"/>
  <c r="O112" i="1"/>
  <c r="O113" i="1"/>
  <c r="O114" i="1"/>
  <c r="O115" i="1"/>
  <c r="O117" i="1"/>
  <c r="O118" i="1"/>
  <c r="O119" i="1"/>
  <c r="O121" i="1"/>
  <c r="O123" i="1"/>
  <c r="O125" i="1"/>
  <c r="O127" i="1"/>
  <c r="O129" i="1"/>
  <c r="O131" i="1"/>
  <c r="O133" i="1"/>
  <c r="O134" i="1"/>
  <c r="O136" i="1"/>
  <c r="O137" i="1"/>
  <c r="O138" i="1"/>
  <c r="O139" i="1"/>
  <c r="O141" i="1"/>
  <c r="O142" i="1"/>
  <c r="O143" i="1"/>
  <c r="O145" i="1"/>
  <c r="O146" i="1"/>
  <c r="O147" i="1"/>
  <c r="O148" i="1"/>
  <c r="O150" i="1"/>
  <c r="O151" i="1"/>
  <c r="O153" i="1"/>
  <c r="O154" i="1"/>
  <c r="O156" i="1"/>
  <c r="O157" i="1"/>
  <c r="O158" i="1"/>
  <c r="O159" i="1"/>
  <c r="O160" i="1"/>
  <c r="O161" i="1"/>
  <c r="O162" i="1"/>
  <c r="O163" i="1"/>
  <c r="O164" i="1"/>
  <c r="O165" i="1"/>
  <c r="O166" i="1"/>
  <c r="O168" i="1"/>
  <c r="O169" i="1"/>
  <c r="O170" i="1"/>
  <c r="O171" i="1"/>
  <c r="O172" i="1"/>
  <c r="S15" i="1"/>
  <c r="S16" i="1"/>
  <c r="S17" i="1"/>
  <c r="S18" i="1"/>
  <c r="S20" i="1"/>
  <c r="S21" i="1"/>
  <c r="S22" i="1"/>
  <c r="S23" i="1"/>
  <c r="S24" i="1"/>
  <c r="S25" i="1"/>
  <c r="S27" i="1"/>
  <c r="S28" i="1"/>
  <c r="S29" i="1"/>
  <c r="S30" i="1"/>
  <c r="S31" i="1"/>
  <c r="S32" i="1"/>
  <c r="S33" i="1"/>
  <c r="S34" i="1"/>
  <c r="S35" i="1"/>
  <c r="S36" i="1"/>
  <c r="S37" i="1"/>
  <c r="S39" i="1"/>
  <c r="S40" i="1"/>
  <c r="S41" i="1"/>
  <c r="S42" i="1"/>
  <c r="S43" i="1"/>
  <c r="S44" i="1"/>
  <c r="S45" i="1"/>
  <c r="S46" i="1"/>
  <c r="S47" i="1"/>
  <c r="S48" i="1"/>
  <c r="S49" i="1"/>
  <c r="S51" i="1"/>
  <c r="S52" i="1"/>
  <c r="S53" i="1"/>
  <c r="S54" i="1"/>
  <c r="S55" i="1"/>
  <c r="S56" i="1"/>
  <c r="S57" i="1"/>
  <c r="S58" i="1"/>
  <c r="S61" i="1"/>
  <c r="S62" i="1"/>
  <c r="S63" i="1"/>
  <c r="S65" i="1"/>
  <c r="S66" i="1"/>
  <c r="S67" i="1"/>
  <c r="S68" i="1"/>
  <c r="S69" i="1"/>
  <c r="S70" i="1"/>
  <c r="S71" i="1"/>
  <c r="S72" i="1"/>
  <c r="S73" i="1"/>
  <c r="S74" i="1"/>
  <c r="S76" i="1"/>
  <c r="S77" i="1"/>
  <c r="S78" i="1"/>
  <c r="S79" i="1"/>
  <c r="S82" i="1"/>
  <c r="S83" i="1"/>
  <c r="S85" i="1"/>
  <c r="S86" i="1"/>
  <c r="S87" i="1"/>
  <c r="S88" i="1"/>
  <c r="S89" i="1"/>
  <c r="S90" i="1"/>
  <c r="S91" i="1"/>
  <c r="S92" i="1"/>
  <c r="S95" i="1"/>
  <c r="S96" i="1"/>
  <c r="S97" i="1"/>
  <c r="S98" i="1"/>
  <c r="S99" i="1"/>
  <c r="S100" i="1"/>
  <c r="S102" i="1"/>
  <c r="S103" i="1"/>
  <c r="S104" i="1"/>
  <c r="S106" i="1"/>
  <c r="S107" i="1"/>
  <c r="S108" i="1"/>
  <c r="S111" i="1"/>
  <c r="S112" i="1"/>
  <c r="S113" i="1"/>
  <c r="S114" i="1"/>
  <c r="S115" i="1"/>
  <c r="S117" i="1"/>
  <c r="S118" i="1"/>
  <c r="S119" i="1"/>
  <c r="S121" i="1"/>
  <c r="S123" i="1"/>
  <c r="S125" i="1"/>
  <c r="S127" i="1"/>
  <c r="S129" i="1"/>
  <c r="S131" i="1"/>
  <c r="S133" i="1"/>
  <c r="S134" i="1"/>
  <c r="S136" i="1"/>
  <c r="S137" i="1"/>
  <c r="S138" i="1"/>
  <c r="S139" i="1"/>
  <c r="S141" i="1"/>
  <c r="S142" i="1"/>
  <c r="S143" i="1"/>
  <c r="S145" i="1"/>
  <c r="S146" i="1"/>
  <c r="S147" i="1"/>
  <c r="S148" i="1"/>
  <c r="S150" i="1"/>
  <c r="S151" i="1"/>
  <c r="S153" i="1"/>
  <c r="S154" i="1"/>
  <c r="S156" i="1"/>
  <c r="S157" i="1"/>
  <c r="S158" i="1"/>
  <c r="S159" i="1"/>
  <c r="S160" i="1"/>
  <c r="S161" i="1"/>
  <c r="S162" i="1"/>
  <c r="S163" i="1"/>
  <c r="S164" i="1"/>
  <c r="S165" i="1"/>
  <c r="S166" i="1"/>
  <c r="S168" i="1"/>
  <c r="S169" i="1"/>
  <c r="S170" i="1"/>
  <c r="S171" i="1"/>
  <c r="S172" i="1"/>
  <c r="S14" i="1"/>
  <c r="S13" i="1"/>
  <c r="K13" i="1"/>
  <c r="K14" i="1"/>
  <c r="K15" i="1"/>
  <c r="K16" i="1"/>
  <c r="K17" i="1"/>
  <c r="K18" i="1"/>
  <c r="K20" i="1"/>
  <c r="K21" i="1"/>
  <c r="K22" i="1"/>
  <c r="K23" i="1"/>
  <c r="K24" i="1"/>
  <c r="K25" i="1"/>
  <c r="K27" i="1"/>
  <c r="K28" i="1"/>
  <c r="K29" i="1"/>
  <c r="K30" i="1"/>
  <c r="K31" i="1"/>
  <c r="K32" i="1"/>
  <c r="K33" i="1"/>
  <c r="K34" i="1"/>
  <c r="K35" i="1"/>
  <c r="K36" i="1"/>
  <c r="K37" i="1"/>
  <c r="K39" i="1"/>
  <c r="K40" i="1"/>
  <c r="K41" i="1"/>
  <c r="K42" i="1"/>
  <c r="K43" i="1"/>
  <c r="K44" i="1"/>
  <c r="K45" i="1"/>
  <c r="K46" i="1"/>
  <c r="K47" i="1"/>
  <c r="K48" i="1"/>
  <c r="K49" i="1"/>
  <c r="K51" i="1"/>
  <c r="K52" i="1"/>
  <c r="K53" i="1"/>
  <c r="K54" i="1"/>
  <c r="K55" i="1"/>
  <c r="K56" i="1"/>
  <c r="K57" i="1"/>
  <c r="K58" i="1"/>
  <c r="K61" i="1"/>
  <c r="K62" i="1"/>
  <c r="K63" i="1"/>
  <c r="K65" i="1"/>
  <c r="K66" i="1"/>
  <c r="K67" i="1"/>
  <c r="K68" i="1"/>
  <c r="K69" i="1"/>
  <c r="K70" i="1"/>
  <c r="K71" i="1"/>
  <c r="K72" i="1"/>
  <c r="K73" i="1"/>
  <c r="K74" i="1"/>
  <c r="K76" i="1"/>
  <c r="K77" i="1"/>
  <c r="K78" i="1"/>
  <c r="K79" i="1"/>
  <c r="K82" i="1"/>
  <c r="K83" i="1"/>
  <c r="K85" i="1"/>
  <c r="K86" i="1"/>
  <c r="K87" i="1"/>
  <c r="K88" i="1"/>
  <c r="K89" i="1"/>
  <c r="K90" i="1"/>
  <c r="K91" i="1"/>
  <c r="K92" i="1"/>
  <c r="K95" i="1"/>
  <c r="K96" i="1"/>
  <c r="K97" i="1"/>
  <c r="K98" i="1"/>
  <c r="K99" i="1"/>
  <c r="K100" i="1"/>
  <c r="K102" i="1"/>
  <c r="K103" i="1"/>
  <c r="K104" i="1"/>
  <c r="K106" i="1"/>
  <c r="K107" i="1"/>
  <c r="K108" i="1"/>
  <c r="K111" i="1"/>
  <c r="K112" i="1"/>
  <c r="K113" i="1"/>
  <c r="K114" i="1"/>
  <c r="K115" i="1"/>
  <c r="K117" i="1"/>
  <c r="K118" i="1"/>
  <c r="K119" i="1"/>
  <c r="K121" i="1"/>
  <c r="K123" i="1"/>
  <c r="K125" i="1"/>
  <c r="K127" i="1"/>
  <c r="K129" i="1"/>
  <c r="K131" i="1"/>
  <c r="K133" i="1"/>
  <c r="K134" i="1"/>
  <c r="K136" i="1"/>
  <c r="K137" i="1"/>
  <c r="K138" i="1"/>
  <c r="K139" i="1"/>
  <c r="K141" i="1"/>
  <c r="K142" i="1"/>
  <c r="K143" i="1"/>
  <c r="K145" i="1"/>
  <c r="K146" i="1"/>
  <c r="K147" i="1"/>
  <c r="K148" i="1"/>
  <c r="K150" i="1"/>
  <c r="K151" i="1"/>
  <c r="K153" i="1"/>
  <c r="K154" i="1"/>
  <c r="K156" i="1"/>
  <c r="K157" i="1"/>
  <c r="K158" i="1"/>
  <c r="K159" i="1"/>
  <c r="K160" i="1"/>
  <c r="K161" i="1"/>
  <c r="K162" i="1"/>
  <c r="K163" i="1"/>
  <c r="K164" i="1"/>
  <c r="K165" i="1"/>
  <c r="K166" i="1"/>
  <c r="K168" i="1"/>
  <c r="K169" i="1"/>
  <c r="K170" i="1"/>
  <c r="K171" i="1"/>
  <c r="K172" i="1"/>
  <c r="G13" i="1"/>
  <c r="G14" i="1"/>
  <c r="G15" i="1"/>
  <c r="G16" i="1"/>
  <c r="G17" i="1"/>
  <c r="G18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G35" i="1"/>
  <c r="G36" i="1"/>
  <c r="G37" i="1"/>
  <c r="G39" i="1"/>
  <c r="G40" i="1"/>
  <c r="G41" i="1"/>
  <c r="G42" i="1"/>
  <c r="G43" i="1"/>
  <c r="G44" i="1"/>
  <c r="G45" i="1"/>
  <c r="G46" i="1"/>
  <c r="G47" i="1"/>
  <c r="G48" i="1"/>
  <c r="G49" i="1"/>
  <c r="G51" i="1"/>
  <c r="G52" i="1"/>
  <c r="G53" i="1"/>
  <c r="G54" i="1"/>
  <c r="G55" i="1"/>
  <c r="G56" i="1"/>
  <c r="G57" i="1"/>
  <c r="G58" i="1"/>
  <c r="G61" i="1"/>
  <c r="G62" i="1"/>
  <c r="G63" i="1"/>
  <c r="G65" i="1"/>
  <c r="G66" i="1"/>
  <c r="G67" i="1"/>
  <c r="G68" i="1"/>
  <c r="G69" i="1"/>
  <c r="G70" i="1"/>
  <c r="G71" i="1"/>
  <c r="G72" i="1"/>
  <c r="G73" i="1"/>
  <c r="G74" i="1"/>
  <c r="G76" i="1"/>
  <c r="G77" i="1"/>
  <c r="G78" i="1"/>
  <c r="G79" i="1"/>
  <c r="G82" i="1"/>
  <c r="G83" i="1"/>
  <c r="G85" i="1"/>
  <c r="G86" i="1"/>
  <c r="G87" i="1"/>
  <c r="G88" i="1"/>
  <c r="G89" i="1"/>
  <c r="G90" i="1"/>
  <c r="G91" i="1"/>
  <c r="G92" i="1"/>
  <c r="G95" i="1"/>
  <c r="G96" i="1"/>
  <c r="G97" i="1"/>
  <c r="G98" i="1"/>
  <c r="G99" i="1"/>
  <c r="G100" i="1"/>
  <c r="G102" i="1"/>
  <c r="G103" i="1"/>
  <c r="G104" i="1"/>
  <c r="G106" i="1"/>
  <c r="G107" i="1"/>
  <c r="G108" i="1"/>
  <c r="G111" i="1"/>
  <c r="G112" i="1"/>
  <c r="G113" i="1"/>
  <c r="G114" i="1"/>
  <c r="G115" i="1"/>
  <c r="G117" i="1"/>
  <c r="G118" i="1"/>
  <c r="G119" i="1"/>
  <c r="G121" i="1"/>
  <c r="G123" i="1"/>
  <c r="G125" i="1"/>
  <c r="G127" i="1"/>
  <c r="G129" i="1"/>
  <c r="G131" i="1"/>
  <c r="G133" i="1"/>
  <c r="G134" i="1"/>
  <c r="G136" i="1"/>
  <c r="G137" i="1"/>
  <c r="G138" i="1"/>
  <c r="G139" i="1"/>
  <c r="G141" i="1"/>
  <c r="G142" i="1"/>
  <c r="G143" i="1"/>
  <c r="G145" i="1"/>
  <c r="G146" i="1"/>
  <c r="G147" i="1"/>
  <c r="G148" i="1"/>
  <c r="G150" i="1"/>
  <c r="G151" i="1"/>
  <c r="G153" i="1"/>
  <c r="G154" i="1"/>
  <c r="G156" i="1"/>
  <c r="G157" i="1"/>
  <c r="G158" i="1"/>
  <c r="G159" i="1"/>
  <c r="G160" i="1"/>
  <c r="G161" i="1"/>
  <c r="G162" i="1"/>
  <c r="G163" i="1"/>
  <c r="G164" i="1"/>
  <c r="G165" i="1"/>
  <c r="G166" i="1"/>
  <c r="G168" i="1"/>
  <c r="G169" i="1"/>
  <c r="G170" i="1"/>
  <c r="G171" i="1"/>
  <c r="G172" i="1"/>
  <c r="AX28" i="1" l="1"/>
  <c r="AX29" i="1"/>
  <c r="AX30" i="1"/>
  <c r="AX31" i="1"/>
  <c r="AX32" i="1"/>
  <c r="AX33" i="1"/>
  <c r="AX34" i="1"/>
  <c r="AX35" i="1"/>
  <c r="AX36" i="1"/>
  <c r="AX37" i="1"/>
  <c r="AW28" i="1"/>
  <c r="AW29" i="1"/>
  <c r="AW30" i="1"/>
  <c r="AW31" i="1"/>
  <c r="AW32" i="1"/>
  <c r="AW33" i="1"/>
  <c r="AW34" i="1"/>
  <c r="AW35" i="1"/>
  <c r="AW36" i="1"/>
  <c r="AW37" i="1"/>
  <c r="AO28" i="1"/>
  <c r="AO29" i="1"/>
  <c r="AO30" i="1"/>
  <c r="AO31" i="1"/>
  <c r="AO32" i="1"/>
  <c r="AO33" i="1"/>
  <c r="AO34" i="1"/>
  <c r="AO35" i="1"/>
  <c r="AO36" i="1"/>
  <c r="AO37" i="1"/>
  <c r="AK28" i="1"/>
  <c r="AK29" i="1"/>
  <c r="AK30" i="1"/>
  <c r="AK31" i="1"/>
  <c r="AK32" i="1"/>
  <c r="AK33" i="1"/>
  <c r="AK34" i="1"/>
  <c r="AK35" i="1"/>
  <c r="AK36" i="1"/>
  <c r="AK37" i="1"/>
  <c r="AG28" i="1"/>
  <c r="AG29" i="1"/>
  <c r="AG30" i="1"/>
  <c r="AG31" i="1"/>
  <c r="AG32" i="1"/>
  <c r="AG33" i="1"/>
  <c r="AG34" i="1"/>
  <c r="AG35" i="1"/>
  <c r="AG36" i="1"/>
  <c r="AG37" i="1"/>
  <c r="AC28" i="1"/>
  <c r="AC29" i="1"/>
  <c r="AC30" i="1"/>
  <c r="AC31" i="1"/>
  <c r="AC32" i="1"/>
  <c r="AC33" i="1"/>
  <c r="AC34" i="1"/>
  <c r="AC35" i="1"/>
  <c r="AC36" i="1"/>
  <c r="AC37" i="1"/>
  <c r="Y28" i="1"/>
  <c r="Y29" i="1"/>
  <c r="Y30" i="1"/>
  <c r="Y31" i="1"/>
  <c r="Y32" i="1"/>
  <c r="Y33" i="1"/>
  <c r="Y34" i="1"/>
  <c r="Y35" i="1"/>
  <c r="Y36" i="1"/>
  <c r="Y37" i="1"/>
  <c r="U28" i="1"/>
  <c r="U29" i="1"/>
  <c r="U30" i="1"/>
  <c r="U31" i="1"/>
  <c r="U32" i="1"/>
  <c r="U33" i="1"/>
  <c r="U34" i="1"/>
  <c r="U35" i="1"/>
  <c r="U36" i="1"/>
  <c r="U37" i="1"/>
  <c r="Q28" i="1"/>
  <c r="Q29" i="1"/>
  <c r="Q30" i="1"/>
  <c r="Q31" i="1"/>
  <c r="Q32" i="1"/>
  <c r="Q33" i="1"/>
  <c r="Q34" i="1"/>
  <c r="Q35" i="1"/>
  <c r="Q36" i="1"/>
  <c r="Q37" i="1"/>
  <c r="I27" i="1"/>
  <c r="I28" i="1"/>
  <c r="I29" i="1"/>
  <c r="I30" i="1"/>
  <c r="I31" i="1"/>
  <c r="I32" i="1"/>
  <c r="I33" i="1"/>
  <c r="I34" i="1"/>
  <c r="I35" i="1"/>
  <c r="I36" i="1"/>
  <c r="I37" i="1"/>
  <c r="AO25" i="1"/>
  <c r="AO27" i="1"/>
  <c r="AK25" i="1"/>
  <c r="AK27" i="1"/>
  <c r="AG25" i="1"/>
  <c r="AG27" i="1"/>
  <c r="AC25" i="1"/>
  <c r="AC27" i="1"/>
  <c r="Y25" i="1"/>
  <c r="Y27" i="1"/>
  <c r="U25" i="1"/>
  <c r="U27" i="1"/>
  <c r="Q25" i="1"/>
  <c r="Q27" i="1"/>
  <c r="AW27" i="1"/>
  <c r="AX27" i="1"/>
  <c r="AW25" i="1"/>
  <c r="AX25" i="1"/>
  <c r="M27" i="1"/>
  <c r="M28" i="1"/>
  <c r="M29" i="1"/>
  <c r="M30" i="1"/>
  <c r="M31" i="1"/>
  <c r="M32" i="1"/>
  <c r="M33" i="1"/>
  <c r="M34" i="1"/>
  <c r="M35" i="1"/>
  <c r="M36" i="1"/>
  <c r="M37" i="1"/>
  <c r="M25" i="1"/>
  <c r="M14" i="1"/>
  <c r="M15" i="1"/>
  <c r="M16" i="1"/>
  <c r="M17" i="1"/>
  <c r="M20" i="1"/>
  <c r="M21" i="1"/>
  <c r="M22" i="1"/>
  <c r="M23" i="1"/>
  <c r="M24" i="1"/>
  <c r="I14" i="1"/>
  <c r="I15" i="1"/>
  <c r="I16" i="1"/>
  <c r="I17" i="1"/>
  <c r="I18" i="1"/>
  <c r="I20" i="1"/>
  <c r="I21" i="1"/>
  <c r="I22" i="1"/>
  <c r="I23" i="1"/>
  <c r="I24" i="1"/>
  <c r="I25" i="1"/>
  <c r="AQ25" i="1" l="1"/>
  <c r="AQ37" i="1"/>
  <c r="AQ36" i="1"/>
  <c r="AQ35" i="1"/>
  <c r="AQ34" i="1"/>
  <c r="AQ33" i="1"/>
  <c r="AQ32" i="1"/>
  <c r="AQ31" i="1"/>
  <c r="AQ30" i="1"/>
  <c r="AQ29" i="1"/>
  <c r="AQ28" i="1"/>
  <c r="AQ27" i="1"/>
  <c r="I115" i="1"/>
  <c r="M115" i="1"/>
  <c r="Q115" i="1"/>
  <c r="U115" i="1"/>
  <c r="Y115" i="1"/>
  <c r="AC115" i="1"/>
  <c r="AG115" i="1"/>
  <c r="AK115" i="1"/>
  <c r="AO115" i="1"/>
  <c r="AW115" i="1"/>
  <c r="AX115" i="1"/>
  <c r="AP28" i="1" l="1"/>
  <c r="AY28" i="1" s="1"/>
  <c r="AP30" i="1"/>
  <c r="AY30" i="1" s="1"/>
  <c r="AP32" i="1"/>
  <c r="AY32" i="1" s="1"/>
  <c r="AP25" i="1"/>
  <c r="AY25" i="1" s="1"/>
  <c r="AP31" i="1"/>
  <c r="AY31" i="1" s="1"/>
  <c r="AZ33" i="1"/>
  <c r="AP33" i="1"/>
  <c r="AY33" i="1" s="1"/>
  <c r="AZ37" i="1"/>
  <c r="AP37" i="1"/>
  <c r="AY37" i="1" s="1"/>
  <c r="AP36" i="1"/>
  <c r="AY36" i="1" s="1"/>
  <c r="AP35" i="1"/>
  <c r="AY35" i="1" s="1"/>
  <c r="AP34" i="1"/>
  <c r="AY34" i="1" s="1"/>
  <c r="AZ29" i="1"/>
  <c r="AP29" i="1"/>
  <c r="AY29" i="1" s="1"/>
  <c r="AZ27" i="1"/>
  <c r="AP27" i="1"/>
  <c r="AY27" i="1" s="1"/>
  <c r="AZ25" i="1"/>
  <c r="AZ35" i="1"/>
  <c r="AZ32" i="1"/>
  <c r="AZ28" i="1"/>
  <c r="AZ36" i="1"/>
  <c r="AZ30" i="1"/>
  <c r="AZ34" i="1"/>
  <c r="AZ31" i="1"/>
  <c r="AQ115" i="1"/>
  <c r="AP115" i="1" l="1"/>
  <c r="AY115" i="1" s="1"/>
  <c r="AZ115" i="1"/>
  <c r="AX17" i="1"/>
  <c r="AW17" i="1"/>
  <c r="AK17" i="1"/>
  <c r="AG17" i="1"/>
  <c r="AC17" i="1"/>
  <c r="Y17" i="1"/>
  <c r="U17" i="1"/>
  <c r="Q17" i="1"/>
  <c r="AO17" i="1" l="1"/>
  <c r="AQ17" i="1" s="1"/>
  <c r="E17" i="1"/>
  <c r="AZ17" i="1" l="1"/>
  <c r="AP17" i="1"/>
  <c r="AY17" i="1" s="1"/>
  <c r="AR14" i="1"/>
  <c r="F173" i="1" l="1"/>
  <c r="AT173" i="1"/>
  <c r="Z16" i="1" l="1"/>
  <c r="AW53" i="1" l="1"/>
  <c r="AX13" i="1"/>
  <c r="AX14" i="1"/>
  <c r="AX15" i="1"/>
  <c r="AX16" i="1"/>
  <c r="AX18" i="1"/>
  <c r="AX20" i="1"/>
  <c r="AX21" i="1"/>
  <c r="AX22" i="1"/>
  <c r="AX23" i="1"/>
  <c r="AX24" i="1"/>
  <c r="AX157" i="1"/>
  <c r="AX40" i="1"/>
  <c r="AX41" i="1"/>
  <c r="AX42" i="1"/>
  <c r="AX43" i="1"/>
  <c r="AX44" i="1"/>
  <c r="AX45" i="1"/>
  <c r="AX46" i="1"/>
  <c r="AX47" i="1"/>
  <c r="AX48" i="1"/>
  <c r="AX49" i="1"/>
  <c r="AX51" i="1"/>
  <c r="AX53" i="1"/>
  <c r="AX54" i="1"/>
  <c r="AX56" i="1"/>
  <c r="AX57" i="1"/>
  <c r="AX58" i="1"/>
  <c r="AX62" i="1"/>
  <c r="AX63" i="1"/>
  <c r="AX71" i="1"/>
  <c r="AX72" i="1"/>
  <c r="AX73" i="1"/>
  <c r="AX76" i="1"/>
  <c r="AX77" i="1"/>
  <c r="AX78" i="1"/>
  <c r="AX79" i="1"/>
  <c r="AX87" i="1"/>
  <c r="AX88" i="1"/>
  <c r="AX90" i="1"/>
  <c r="AX91" i="1"/>
  <c r="AX92" i="1"/>
  <c r="AX95" i="1"/>
  <c r="AX96" i="1"/>
  <c r="AX100" i="1"/>
  <c r="AX102" i="1"/>
  <c r="AX103" i="1"/>
  <c r="AX104" i="1"/>
  <c r="AX106" i="1"/>
  <c r="AX107" i="1"/>
  <c r="AX108" i="1"/>
  <c r="AX111" i="1"/>
  <c r="AX112" i="1"/>
  <c r="AX113" i="1"/>
  <c r="AX114" i="1"/>
  <c r="AX118" i="1"/>
  <c r="AX121" i="1"/>
  <c r="AX123" i="1"/>
  <c r="AX125" i="1"/>
  <c r="AX127" i="1"/>
  <c r="AX129" i="1"/>
  <c r="AX131" i="1"/>
  <c r="AX133" i="1"/>
  <c r="AX137" i="1"/>
  <c r="AX138" i="1"/>
  <c r="AX139" i="1"/>
  <c r="AX141" i="1"/>
  <c r="AX142" i="1"/>
  <c r="AX143" i="1"/>
  <c r="AX145" i="1"/>
  <c r="AX146" i="1"/>
  <c r="AX147" i="1"/>
  <c r="AX148" i="1"/>
  <c r="AX150" i="1"/>
  <c r="AX151" i="1"/>
  <c r="AX153" i="1"/>
  <c r="AX154" i="1"/>
  <c r="AX156" i="1"/>
  <c r="AX158" i="1"/>
  <c r="AX159" i="1"/>
  <c r="AX160" i="1"/>
  <c r="AX161" i="1"/>
  <c r="AX162" i="1"/>
  <c r="AX163" i="1"/>
  <c r="AX164" i="1"/>
  <c r="AX165" i="1"/>
  <c r="AX166" i="1"/>
  <c r="AX168" i="1"/>
  <c r="AX169" i="1"/>
  <c r="AX170" i="1"/>
  <c r="AX171" i="1"/>
  <c r="AX172" i="1"/>
  <c r="AW169" i="1"/>
  <c r="AW170" i="1"/>
  <c r="AW171" i="1"/>
  <c r="AW172" i="1"/>
  <c r="AW156" i="1"/>
  <c r="AW158" i="1"/>
  <c r="AW159" i="1"/>
  <c r="AW160" i="1"/>
  <c r="AW161" i="1"/>
  <c r="AW162" i="1"/>
  <c r="AW163" i="1"/>
  <c r="AW164" i="1"/>
  <c r="AW165" i="1"/>
  <c r="AW166" i="1"/>
  <c r="AW153" i="1"/>
  <c r="AW154" i="1"/>
  <c r="AW151" i="1"/>
  <c r="AW146" i="1"/>
  <c r="AW147" i="1"/>
  <c r="AW148" i="1"/>
  <c r="AW142" i="1"/>
  <c r="AW143" i="1"/>
  <c r="AW137" i="1"/>
  <c r="AW138" i="1"/>
  <c r="AW139" i="1"/>
  <c r="AW121" i="1"/>
  <c r="AW123" i="1"/>
  <c r="AW125" i="1"/>
  <c r="AW127" i="1"/>
  <c r="AW129" i="1"/>
  <c r="AW118" i="1"/>
  <c r="AW111" i="1"/>
  <c r="AW112" i="1"/>
  <c r="AW113" i="1"/>
  <c r="AW114" i="1"/>
  <c r="AW107" i="1"/>
  <c r="AW108" i="1"/>
  <c r="AW103" i="1"/>
  <c r="AW104" i="1"/>
  <c r="AW96" i="1"/>
  <c r="AW100" i="1"/>
  <c r="AW87" i="1"/>
  <c r="AW88" i="1"/>
  <c r="AW90" i="1"/>
  <c r="AW91" i="1"/>
  <c r="AW92" i="1"/>
  <c r="AW77" i="1"/>
  <c r="AW78" i="1"/>
  <c r="AW79" i="1"/>
  <c r="AW71" i="1"/>
  <c r="AW72" i="1"/>
  <c r="AW73" i="1"/>
  <c r="AW62" i="1"/>
  <c r="AW63" i="1"/>
  <c r="AW54" i="1"/>
  <c r="AW56" i="1"/>
  <c r="AW57" i="1"/>
  <c r="AW58" i="1"/>
  <c r="AW40" i="1"/>
  <c r="AW41" i="1"/>
  <c r="AW42" i="1"/>
  <c r="AW43" i="1"/>
  <c r="AW44" i="1"/>
  <c r="AW45" i="1"/>
  <c r="AW46" i="1"/>
  <c r="AW47" i="1"/>
  <c r="AW48" i="1"/>
  <c r="AW49" i="1"/>
  <c r="AW13" i="1"/>
  <c r="AW14" i="1"/>
  <c r="AW15" i="1"/>
  <c r="AW16" i="1"/>
  <c r="AW18" i="1"/>
  <c r="AW20" i="1"/>
  <c r="AW21" i="1"/>
  <c r="AW22" i="1"/>
  <c r="AW23" i="1"/>
  <c r="AW24" i="1"/>
  <c r="AW157" i="1"/>
  <c r="AO156" i="1"/>
  <c r="AK156" i="1"/>
  <c r="AG156" i="1"/>
  <c r="AC156" i="1" l="1"/>
  <c r="Y156" i="1"/>
  <c r="U156" i="1"/>
  <c r="Q156" i="1"/>
  <c r="M156" i="1"/>
  <c r="I156" i="1"/>
  <c r="AQ156" i="1" l="1"/>
  <c r="N165" i="1"/>
  <c r="N164" i="1"/>
  <c r="AZ156" i="1" l="1"/>
  <c r="AP156" i="1"/>
  <c r="AY156" i="1" s="1"/>
  <c r="N159" i="1"/>
  <c r="N162" i="1"/>
  <c r="E162" i="1" s="1"/>
  <c r="AL24" i="1" l="1"/>
  <c r="E24" i="1" s="1"/>
  <c r="A15" i="1" l="1"/>
  <c r="A16" i="1" s="1"/>
  <c r="A17" i="1" s="1"/>
  <c r="A18" i="1" s="1"/>
  <c r="A22" i="1" s="1"/>
  <c r="A23" i="1" s="1"/>
  <c r="A24" i="1" s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1" i="1" s="1"/>
  <c r="Z52" i="1"/>
  <c r="N52" i="1"/>
  <c r="J52" i="1"/>
  <c r="AO53" i="1"/>
  <c r="AK53" i="1"/>
  <c r="AG53" i="1"/>
  <c r="AC53" i="1"/>
  <c r="Y53" i="1"/>
  <c r="U53" i="1"/>
  <c r="Q53" i="1"/>
  <c r="J53" i="1"/>
  <c r="E53" i="1" s="1"/>
  <c r="I53" i="1"/>
  <c r="M53" i="1" l="1"/>
  <c r="AQ53" i="1" s="1"/>
  <c r="A52" i="1"/>
  <c r="AP53" i="1" l="1"/>
  <c r="AY53" i="1" s="1"/>
  <c r="AZ53" i="1"/>
  <c r="A54" i="1"/>
  <c r="A56" i="1"/>
  <c r="A58" i="1"/>
  <c r="A61" i="1" s="1"/>
  <c r="A62" i="1" s="1"/>
  <c r="A66" i="1" s="1"/>
  <c r="A67" i="1" s="1"/>
  <c r="A68" i="1" s="1"/>
  <c r="A69" i="1" s="1"/>
  <c r="A70" i="1" s="1"/>
  <c r="A76" i="1" s="1"/>
  <c r="A78" i="1" s="1"/>
  <c r="A82" i="1" s="1"/>
  <c r="A83" i="1" s="1"/>
  <c r="A85" i="1" s="1"/>
  <c r="A86" i="1" s="1"/>
  <c r="A87" i="1" s="1"/>
  <c r="A88" i="1" s="1"/>
  <c r="A89" i="1" s="1"/>
  <c r="A90" i="1" s="1"/>
  <c r="A91" i="1" s="1"/>
  <c r="A92" i="1" s="1"/>
  <c r="A95" i="1" s="1"/>
  <c r="A97" i="1" s="1"/>
  <c r="A98" i="1" s="1"/>
  <c r="A99" i="1" s="1"/>
  <c r="A102" i="1" s="1"/>
  <c r="A103" i="1" s="1"/>
  <c r="A104" i="1" s="1"/>
  <c r="A106" i="1" s="1"/>
  <c r="A107" i="1" s="1"/>
  <c r="A108" i="1" s="1"/>
  <c r="A112" i="1" s="1"/>
  <c r="A113" i="1" s="1"/>
  <c r="A114" i="1" s="1"/>
  <c r="A115" i="1" l="1"/>
  <c r="A118" i="1" s="1"/>
  <c r="A119" i="1" s="1"/>
  <c r="A125" i="1" s="1"/>
  <c r="A127" i="1" s="1"/>
  <c r="A129" i="1" s="1"/>
  <c r="A131" i="1" s="1"/>
  <c r="A133" i="1" s="1"/>
  <c r="A134" i="1" s="1"/>
  <c r="A136" i="1" s="1"/>
  <c r="A138" i="1" s="1"/>
  <c r="A139" i="1" s="1"/>
  <c r="A142" i="1" s="1"/>
  <c r="A143" i="1" s="1"/>
  <c r="A145" i="1" s="1"/>
  <c r="A146" i="1" s="1"/>
  <c r="A147" i="1" s="1"/>
  <c r="A148" i="1" s="1"/>
  <c r="A151" i="1" s="1"/>
  <c r="A154" i="1" s="1"/>
  <c r="Z139" i="1"/>
  <c r="E139" i="1" s="1"/>
  <c r="A158" i="1" l="1"/>
  <c r="A159" i="1" s="1"/>
  <c r="A160" i="1" s="1"/>
  <c r="A161" i="1" s="1"/>
  <c r="A162" i="1" s="1"/>
  <c r="A163" i="1" s="1"/>
  <c r="A164" i="1" s="1"/>
  <c r="A165" i="1" s="1"/>
  <c r="A166" i="1" s="1"/>
  <c r="AR119" i="1"/>
  <c r="AO129" i="1"/>
  <c r="AG129" i="1"/>
  <c r="AC129" i="1"/>
  <c r="Y129" i="1"/>
  <c r="U129" i="1"/>
  <c r="Q129" i="1"/>
  <c r="I129" i="1"/>
  <c r="M129" i="1" l="1"/>
  <c r="AX119" i="1"/>
  <c r="AW119" i="1"/>
  <c r="AK129" i="1"/>
  <c r="A171" i="1" l="1"/>
  <c r="AQ129" i="1"/>
  <c r="AP129" i="1" s="1"/>
  <c r="Z107" i="1"/>
  <c r="E107" i="1" s="1"/>
  <c r="Z83" i="1"/>
  <c r="N62" i="1"/>
  <c r="AZ129" i="1" l="1"/>
  <c r="AY129" i="1"/>
  <c r="J54" i="1" l="1"/>
  <c r="E54" i="1" s="1"/>
  <c r="AH39" i="1"/>
  <c r="AL45" i="1"/>
  <c r="E45" i="1" s="1"/>
  <c r="AO16" i="1" l="1"/>
  <c r="AH16" i="1"/>
  <c r="AG16" i="1"/>
  <c r="AC16" i="1"/>
  <c r="V16" i="1"/>
  <c r="U16" i="1"/>
  <c r="E16" i="1" l="1"/>
  <c r="Y16" i="1"/>
  <c r="AK16" i="1"/>
  <c r="Q16" i="1"/>
  <c r="AQ16" i="1" l="1"/>
  <c r="AR86" i="1"/>
  <c r="AR82" i="1"/>
  <c r="AX82" i="1" s="1"/>
  <c r="AL87" i="1"/>
  <c r="Z87" i="1"/>
  <c r="J87" i="1"/>
  <c r="AL86" i="1"/>
  <c r="AO86" i="1" s="1"/>
  <c r="AH86" i="1"/>
  <c r="AK86" i="1" s="1"/>
  <c r="Z86" i="1"/>
  <c r="AC86" i="1" s="1"/>
  <c r="V86" i="1"/>
  <c r="Y86" i="1" s="1"/>
  <c r="N86" i="1"/>
  <c r="I86" i="1"/>
  <c r="M86" i="1"/>
  <c r="U86" i="1"/>
  <c r="AG86" i="1"/>
  <c r="AL85" i="1"/>
  <c r="V85" i="1"/>
  <c r="E87" i="1" l="1"/>
  <c r="E85" i="1"/>
  <c r="E86" i="1"/>
  <c r="AZ16" i="1"/>
  <c r="AP16" i="1"/>
  <c r="AY16" i="1" s="1"/>
  <c r="Q86" i="1"/>
  <c r="AQ86" i="1" s="1"/>
  <c r="AP86" i="1" s="1"/>
  <c r="AX86" i="1"/>
  <c r="AW86" i="1"/>
  <c r="AZ86" i="1" l="1"/>
  <c r="AY86" i="1"/>
  <c r="Z65" i="1"/>
  <c r="Z40" i="1"/>
  <c r="AW51" i="1" l="1"/>
  <c r="AW76" i="1"/>
  <c r="AW82" i="1"/>
  <c r="AW95" i="1"/>
  <c r="AW102" i="1"/>
  <c r="AW106" i="1"/>
  <c r="AW131" i="1"/>
  <c r="AW145" i="1"/>
  <c r="AW150" i="1"/>
  <c r="AW133" i="1"/>
  <c r="AW141" i="1"/>
  <c r="AW168" i="1"/>
  <c r="N163" i="1" l="1"/>
  <c r="AR89" i="1"/>
  <c r="AR85" i="1"/>
  <c r="AR83" i="1"/>
  <c r="AL82" i="1"/>
  <c r="Z82" i="1"/>
  <c r="J82" i="1"/>
  <c r="AR74" i="1"/>
  <c r="AR69" i="1"/>
  <c r="AD65" i="1"/>
  <c r="AD173" i="1" s="1"/>
  <c r="AR68" i="1"/>
  <c r="AR67" i="1"/>
  <c r="AR66" i="1"/>
  <c r="AR65" i="1"/>
  <c r="E82" i="1" l="1"/>
  <c r="AX66" i="1"/>
  <c r="AW66" i="1"/>
  <c r="AX68" i="1"/>
  <c r="AW68" i="1"/>
  <c r="AX69" i="1"/>
  <c r="AW69" i="1"/>
  <c r="AX85" i="1"/>
  <c r="AW85" i="1"/>
  <c r="AX65" i="1"/>
  <c r="AW65" i="1"/>
  <c r="AX67" i="1"/>
  <c r="AW67" i="1"/>
  <c r="AX74" i="1"/>
  <c r="AW74" i="1"/>
  <c r="AX83" i="1"/>
  <c r="AW83" i="1"/>
  <c r="AX89" i="1"/>
  <c r="AW89" i="1"/>
  <c r="AK42" i="1"/>
  <c r="AC42" i="1"/>
  <c r="M42" i="1"/>
  <c r="AL39" i="1"/>
  <c r="Z39" i="1"/>
  <c r="J39" i="1"/>
  <c r="E39" i="1" l="1"/>
  <c r="AX39" i="1"/>
  <c r="AW39" i="1"/>
  <c r="Z160" i="1" l="1"/>
  <c r="V160" i="1"/>
  <c r="N160" i="1"/>
  <c r="J160" i="1"/>
  <c r="AH159" i="1"/>
  <c r="AL159" i="1"/>
  <c r="E159" i="1" l="1"/>
  <c r="E160" i="1"/>
  <c r="AG42" i="1"/>
  <c r="Y42" i="1"/>
  <c r="U42" i="1"/>
  <c r="AK87" i="1" l="1"/>
  <c r="U87" i="1"/>
  <c r="AO83" i="1" l="1"/>
  <c r="AG83" i="1"/>
  <c r="U83" i="1"/>
  <c r="Q83" i="1"/>
  <c r="I83" i="1"/>
  <c r="AO69" i="1"/>
  <c r="AO66" i="1"/>
  <c r="AO67" i="1"/>
  <c r="AO68" i="1"/>
  <c r="AK66" i="1"/>
  <c r="AK67" i="1"/>
  <c r="AK68" i="1"/>
  <c r="AK69" i="1"/>
  <c r="AK70" i="1"/>
  <c r="AK71" i="1"/>
  <c r="AK72" i="1"/>
  <c r="AK73" i="1"/>
  <c r="AK74" i="1"/>
  <c r="AG66" i="1"/>
  <c r="AG67" i="1"/>
  <c r="AG68" i="1"/>
  <c r="AG69" i="1"/>
  <c r="AC68" i="1"/>
  <c r="Y67" i="1"/>
  <c r="Y68" i="1"/>
  <c r="Y69" i="1"/>
  <c r="U67" i="1"/>
  <c r="Q66" i="1"/>
  <c r="Q70" i="1"/>
  <c r="M68" i="1"/>
  <c r="M69" i="1"/>
  <c r="I67" i="1"/>
  <c r="I68" i="1"/>
  <c r="I69" i="1"/>
  <c r="I65" i="1"/>
  <c r="I66" i="1"/>
  <c r="AR117" i="1"/>
  <c r="J164" i="1"/>
  <c r="E164" i="1" s="1"/>
  <c r="V163" i="1"/>
  <c r="E163" i="1" s="1"/>
  <c r="AL148" i="1"/>
  <c r="E148" i="1" s="1"/>
  <c r="Z150" i="1"/>
  <c r="E150" i="1" s="1"/>
  <c r="E125" i="1"/>
  <c r="E131" i="1" l="1"/>
  <c r="AX117" i="1"/>
  <c r="AW117" i="1"/>
  <c r="Z106" i="1" l="1"/>
  <c r="E106" i="1" s="1"/>
  <c r="V98" i="1"/>
  <c r="E98" i="1" s="1"/>
  <c r="Z95" i="1"/>
  <c r="E95" i="1" s="1"/>
  <c r="Z89" i="1"/>
  <c r="N89" i="1"/>
  <c r="J89" i="1"/>
  <c r="Z88" i="1"/>
  <c r="N88" i="1"/>
  <c r="AO42" i="1"/>
  <c r="Q42" i="1"/>
  <c r="I42" i="1"/>
  <c r="E88" i="1" l="1"/>
  <c r="E89" i="1"/>
  <c r="AQ42" i="1"/>
  <c r="AZ42" i="1" l="1"/>
  <c r="AP42" i="1"/>
  <c r="AY42" i="1" s="1"/>
  <c r="AR55" i="1" l="1"/>
  <c r="AR52" i="1"/>
  <c r="AX55" i="1" l="1"/>
  <c r="AW55" i="1"/>
  <c r="AX52" i="1"/>
  <c r="AW52" i="1"/>
  <c r="V165" i="1"/>
  <c r="Z165" i="1"/>
  <c r="J165" i="1"/>
  <c r="AH83" i="1"/>
  <c r="E83" i="1" s="1"/>
  <c r="AC83" i="1"/>
  <c r="Y83" i="1"/>
  <c r="M83" i="1"/>
  <c r="Z78" i="1"/>
  <c r="E78" i="1" s="1"/>
  <c r="Z76" i="1"/>
  <c r="J76" i="1"/>
  <c r="Z69" i="1"/>
  <c r="U68" i="1"/>
  <c r="Z67" i="1"/>
  <c r="AC67" i="1" s="1"/>
  <c r="Q67" i="1"/>
  <c r="J67" i="1"/>
  <c r="E67" i="1" s="1"/>
  <c r="AC69" i="1" l="1"/>
  <c r="E69" i="1"/>
  <c r="E76" i="1"/>
  <c r="M67" i="1"/>
  <c r="AQ67" i="1" s="1"/>
  <c r="Q68" i="1"/>
  <c r="AQ68" i="1" s="1"/>
  <c r="Q69" i="1"/>
  <c r="AK83" i="1"/>
  <c r="AQ83" i="1" s="1"/>
  <c r="V66" i="1"/>
  <c r="Y66" i="1" s="1"/>
  <c r="Z66" i="1"/>
  <c r="AC66" i="1" s="1"/>
  <c r="U66" i="1"/>
  <c r="J66" i="1"/>
  <c r="V65" i="1"/>
  <c r="J65" i="1"/>
  <c r="Z62" i="1"/>
  <c r="J62" i="1"/>
  <c r="Z57" i="1"/>
  <c r="E57" i="1" s="1"/>
  <c r="N56" i="1"/>
  <c r="N173" i="1" s="1"/>
  <c r="Z56" i="1"/>
  <c r="J56" i="1"/>
  <c r="Z55" i="1"/>
  <c r="AL55" i="1"/>
  <c r="AH55" i="1"/>
  <c r="J55" i="1"/>
  <c r="AL52" i="1"/>
  <c r="E52" i="1" s="1"/>
  <c r="Z43" i="1"/>
  <c r="E43" i="1" s="1"/>
  <c r="AH40" i="1"/>
  <c r="E40" i="1" s="1"/>
  <c r="E55" i="1" l="1"/>
  <c r="E56" i="1"/>
  <c r="E62" i="1"/>
  <c r="E65" i="1"/>
  <c r="E66" i="1"/>
  <c r="AZ67" i="1"/>
  <c r="AP67" i="1"/>
  <c r="AY67" i="1" s="1"/>
  <c r="AZ83" i="1"/>
  <c r="AP83" i="1"/>
  <c r="AY83" i="1" s="1"/>
  <c r="AZ68" i="1"/>
  <c r="AP68" i="1"/>
  <c r="AY68" i="1" s="1"/>
  <c r="M66" i="1"/>
  <c r="AQ66" i="1" s="1"/>
  <c r="AZ66" i="1" l="1"/>
  <c r="AP66" i="1"/>
  <c r="AY66" i="1" s="1"/>
  <c r="J18" i="1"/>
  <c r="Z18" i="1"/>
  <c r="Z173" i="1" s="1"/>
  <c r="AR136" i="1"/>
  <c r="AR134" i="1"/>
  <c r="AR99" i="1"/>
  <c r="AR98" i="1"/>
  <c r="AR97" i="1"/>
  <c r="AR70" i="1"/>
  <c r="AR61" i="1"/>
  <c r="R173" i="1"/>
  <c r="V173" i="1"/>
  <c r="AH18" i="1"/>
  <c r="AH173" i="1" s="1"/>
  <c r="J173" i="1" l="1"/>
  <c r="M18" i="1"/>
  <c r="AR173" i="1"/>
  <c r="AX70" i="1"/>
  <c r="AW70" i="1"/>
  <c r="AX98" i="1"/>
  <c r="AW98" i="1"/>
  <c r="AX134" i="1"/>
  <c r="AW134" i="1"/>
  <c r="AX61" i="1"/>
  <c r="AW61" i="1"/>
  <c r="AX97" i="1"/>
  <c r="AW97" i="1"/>
  <c r="AX99" i="1"/>
  <c r="AW99" i="1"/>
  <c r="AX136" i="1"/>
  <c r="AW136" i="1"/>
  <c r="AL165" i="1"/>
  <c r="E165" i="1" s="1"/>
  <c r="AL18" i="1" l="1"/>
  <c r="E18" i="1" s="1"/>
  <c r="E173" i="1" s="1"/>
  <c r="AL173" i="1" l="1"/>
  <c r="AX173" i="1" l="1"/>
  <c r="AO13" i="1"/>
  <c r="AO14" i="1"/>
  <c r="AO15" i="1"/>
  <c r="AO18" i="1"/>
  <c r="AO20" i="1"/>
  <c r="AO21" i="1"/>
  <c r="AO22" i="1"/>
  <c r="AO23" i="1"/>
  <c r="AO24" i="1"/>
  <c r="AO157" i="1"/>
  <c r="AO39" i="1"/>
  <c r="AO40" i="1"/>
  <c r="AO41" i="1"/>
  <c r="AO43" i="1"/>
  <c r="AO44" i="1"/>
  <c r="AO45" i="1"/>
  <c r="AO51" i="1"/>
  <c r="AO52" i="1"/>
  <c r="AO46" i="1"/>
  <c r="AO47" i="1"/>
  <c r="AO54" i="1"/>
  <c r="AO55" i="1"/>
  <c r="AO56" i="1"/>
  <c r="AO57" i="1"/>
  <c r="AO58" i="1"/>
  <c r="AO49" i="1"/>
  <c r="AO48" i="1"/>
  <c r="AO61" i="1"/>
  <c r="AO62" i="1"/>
  <c r="AO63" i="1"/>
  <c r="AO65" i="1"/>
  <c r="AO70" i="1"/>
  <c r="AO71" i="1"/>
  <c r="AO72" i="1"/>
  <c r="AO73" i="1"/>
  <c r="AO74" i="1"/>
  <c r="AO76" i="1"/>
  <c r="AO77" i="1"/>
  <c r="AO78" i="1"/>
  <c r="AO79" i="1"/>
  <c r="AO82" i="1"/>
  <c r="AO85" i="1"/>
  <c r="AO87" i="1"/>
  <c r="AO88" i="1"/>
  <c r="AO89" i="1"/>
  <c r="AO90" i="1"/>
  <c r="AO91" i="1"/>
  <c r="AO92" i="1"/>
  <c r="AO95" i="1"/>
  <c r="AO96" i="1"/>
  <c r="AO97" i="1"/>
  <c r="AO98" i="1"/>
  <c r="AO99" i="1"/>
  <c r="AO100" i="1"/>
  <c r="AO102" i="1"/>
  <c r="AO103" i="1"/>
  <c r="AO104" i="1"/>
  <c r="AO106" i="1"/>
  <c r="AO107" i="1"/>
  <c r="AO108" i="1"/>
  <c r="AO111" i="1"/>
  <c r="AO112" i="1"/>
  <c r="AO113" i="1"/>
  <c r="AO114" i="1"/>
  <c r="AO121" i="1"/>
  <c r="AO123" i="1"/>
  <c r="AO117" i="1"/>
  <c r="AO118" i="1"/>
  <c r="AO125" i="1"/>
  <c r="AO127" i="1"/>
  <c r="AO119" i="1"/>
  <c r="AO131" i="1"/>
  <c r="AO145" i="1"/>
  <c r="AO146" i="1"/>
  <c r="AO147" i="1"/>
  <c r="AO134" i="1"/>
  <c r="AO150" i="1"/>
  <c r="AO151" i="1"/>
  <c r="AO148" i="1"/>
  <c r="AO153" i="1"/>
  <c r="AO136" i="1"/>
  <c r="AO137" i="1"/>
  <c r="AO138" i="1"/>
  <c r="AO139" i="1"/>
  <c r="AO154" i="1"/>
  <c r="AO133" i="1"/>
  <c r="AO141" i="1"/>
  <c r="AO142" i="1"/>
  <c r="AO143" i="1"/>
  <c r="AO158" i="1"/>
  <c r="AO159" i="1"/>
  <c r="AO160" i="1"/>
  <c r="AO161" i="1"/>
  <c r="AO162" i="1"/>
  <c r="AO163" i="1"/>
  <c r="AO164" i="1"/>
  <c r="AO165" i="1"/>
  <c r="AO166" i="1"/>
  <c r="AO168" i="1"/>
  <c r="AO169" i="1"/>
  <c r="AO170" i="1"/>
  <c r="AO171" i="1"/>
  <c r="AO172" i="1"/>
  <c r="AK13" i="1"/>
  <c r="AK14" i="1"/>
  <c r="AK15" i="1"/>
  <c r="AK18" i="1"/>
  <c r="AK20" i="1"/>
  <c r="AK21" i="1"/>
  <c r="AK22" i="1"/>
  <c r="AK23" i="1"/>
  <c r="AK24" i="1"/>
  <c r="AK157" i="1"/>
  <c r="AK39" i="1"/>
  <c r="AK40" i="1"/>
  <c r="AK41" i="1"/>
  <c r="AK43" i="1"/>
  <c r="AK44" i="1"/>
  <c r="AK45" i="1"/>
  <c r="AK51" i="1"/>
  <c r="AK52" i="1"/>
  <c r="AK46" i="1"/>
  <c r="AK47" i="1"/>
  <c r="AK54" i="1"/>
  <c r="AK55" i="1"/>
  <c r="AK56" i="1"/>
  <c r="AK57" i="1"/>
  <c r="AK58" i="1"/>
  <c r="AK49" i="1"/>
  <c r="AK48" i="1"/>
  <c r="AK61" i="1"/>
  <c r="AK62" i="1"/>
  <c r="AK63" i="1"/>
  <c r="AK65" i="1"/>
  <c r="AK76" i="1"/>
  <c r="AK77" i="1"/>
  <c r="AK78" i="1"/>
  <c r="AK79" i="1"/>
  <c r="AK82" i="1"/>
  <c r="AK85" i="1"/>
  <c r="AK88" i="1"/>
  <c r="AK89" i="1"/>
  <c r="AK90" i="1"/>
  <c r="AK91" i="1"/>
  <c r="AK92" i="1"/>
  <c r="AK95" i="1"/>
  <c r="AK96" i="1"/>
  <c r="AK97" i="1"/>
  <c r="AK98" i="1"/>
  <c r="AK99" i="1"/>
  <c r="AK100" i="1"/>
  <c r="AK102" i="1"/>
  <c r="AK103" i="1"/>
  <c r="AK104" i="1"/>
  <c r="AK106" i="1"/>
  <c r="AK107" i="1"/>
  <c r="AK108" i="1"/>
  <c r="AK111" i="1"/>
  <c r="AK112" i="1"/>
  <c r="AK113" i="1"/>
  <c r="AK114" i="1"/>
  <c r="AK121" i="1"/>
  <c r="AK123" i="1"/>
  <c r="AK117" i="1"/>
  <c r="AK118" i="1"/>
  <c r="AK125" i="1"/>
  <c r="AK127" i="1"/>
  <c r="AK119" i="1"/>
  <c r="AK131" i="1"/>
  <c r="AK145" i="1"/>
  <c r="AK146" i="1"/>
  <c r="AK147" i="1"/>
  <c r="AK134" i="1"/>
  <c r="AK150" i="1"/>
  <c r="AK151" i="1"/>
  <c r="AK148" i="1"/>
  <c r="AK153" i="1"/>
  <c r="AK136" i="1"/>
  <c r="AK137" i="1"/>
  <c r="AK138" i="1"/>
  <c r="AK139" i="1"/>
  <c r="AK154" i="1"/>
  <c r="AK133" i="1"/>
  <c r="AK141" i="1"/>
  <c r="AK142" i="1"/>
  <c r="AK143" i="1"/>
  <c r="AK158" i="1"/>
  <c r="AK159" i="1"/>
  <c r="AK160" i="1"/>
  <c r="AK161" i="1"/>
  <c r="AK162" i="1"/>
  <c r="AK163" i="1"/>
  <c r="AK164" i="1"/>
  <c r="AK165" i="1"/>
  <c r="AK166" i="1"/>
  <c r="AK168" i="1"/>
  <c r="AK169" i="1"/>
  <c r="AK170" i="1"/>
  <c r="AK171" i="1"/>
  <c r="AK172" i="1"/>
  <c r="AG13" i="1"/>
  <c r="AG14" i="1"/>
  <c r="AG15" i="1"/>
  <c r="AG18" i="1"/>
  <c r="AG20" i="1"/>
  <c r="AG21" i="1"/>
  <c r="AG22" i="1"/>
  <c r="AG23" i="1"/>
  <c r="AG24" i="1"/>
  <c r="AG157" i="1"/>
  <c r="AG39" i="1"/>
  <c r="AG40" i="1"/>
  <c r="AG41" i="1"/>
  <c r="AG43" i="1"/>
  <c r="AG44" i="1"/>
  <c r="AG45" i="1"/>
  <c r="AG51" i="1"/>
  <c r="AG52" i="1"/>
  <c r="AG46" i="1"/>
  <c r="AG47" i="1"/>
  <c r="AG54" i="1"/>
  <c r="AG55" i="1"/>
  <c r="AG56" i="1"/>
  <c r="AG57" i="1"/>
  <c r="AG58" i="1"/>
  <c r="AG49" i="1"/>
  <c r="AG48" i="1"/>
  <c r="AG61" i="1"/>
  <c r="AG62" i="1"/>
  <c r="AG63" i="1"/>
  <c r="AG65" i="1"/>
  <c r="AG70" i="1"/>
  <c r="AG71" i="1"/>
  <c r="AG72" i="1"/>
  <c r="AG73" i="1"/>
  <c r="AG74" i="1"/>
  <c r="AG76" i="1"/>
  <c r="AG77" i="1"/>
  <c r="AG78" i="1"/>
  <c r="AG79" i="1"/>
  <c r="AG82" i="1"/>
  <c r="AG85" i="1"/>
  <c r="AG87" i="1"/>
  <c r="AG88" i="1"/>
  <c r="AG89" i="1"/>
  <c r="AG90" i="1"/>
  <c r="AG91" i="1"/>
  <c r="AG92" i="1"/>
  <c r="AG95" i="1"/>
  <c r="AG96" i="1"/>
  <c r="AG97" i="1"/>
  <c r="AG98" i="1"/>
  <c r="AG99" i="1"/>
  <c r="AG100" i="1"/>
  <c r="AG102" i="1"/>
  <c r="AG103" i="1"/>
  <c r="AG104" i="1"/>
  <c r="AG106" i="1"/>
  <c r="AG107" i="1"/>
  <c r="AG108" i="1"/>
  <c r="AG111" i="1"/>
  <c r="AG112" i="1"/>
  <c r="AG113" i="1"/>
  <c r="AG114" i="1"/>
  <c r="AG121" i="1"/>
  <c r="AG123" i="1"/>
  <c r="AG117" i="1"/>
  <c r="AG118" i="1"/>
  <c r="AG125" i="1"/>
  <c r="AG127" i="1"/>
  <c r="AG119" i="1"/>
  <c r="AG131" i="1"/>
  <c r="AG145" i="1"/>
  <c r="AG146" i="1"/>
  <c r="AG147" i="1"/>
  <c r="AG134" i="1"/>
  <c r="AG150" i="1"/>
  <c r="AG151" i="1"/>
  <c r="AG148" i="1"/>
  <c r="AG153" i="1"/>
  <c r="AG136" i="1"/>
  <c r="AG137" i="1"/>
  <c r="AG138" i="1"/>
  <c r="AG139" i="1"/>
  <c r="AG154" i="1"/>
  <c r="AG133" i="1"/>
  <c r="AG141" i="1"/>
  <c r="AG142" i="1"/>
  <c r="AG143" i="1"/>
  <c r="AG158" i="1"/>
  <c r="AG159" i="1"/>
  <c r="AG160" i="1"/>
  <c r="AG161" i="1"/>
  <c r="AG162" i="1"/>
  <c r="AG163" i="1"/>
  <c r="AG164" i="1"/>
  <c r="AG165" i="1"/>
  <c r="AG166" i="1"/>
  <c r="AG168" i="1"/>
  <c r="AG169" i="1"/>
  <c r="AG170" i="1"/>
  <c r="AG171" i="1"/>
  <c r="AG172" i="1"/>
  <c r="AC13" i="1"/>
  <c r="AC14" i="1"/>
  <c r="AC15" i="1"/>
  <c r="AC18" i="1"/>
  <c r="AC20" i="1"/>
  <c r="AC21" i="1"/>
  <c r="AC22" i="1"/>
  <c r="AC23" i="1"/>
  <c r="AC24" i="1"/>
  <c r="AC157" i="1"/>
  <c r="AC39" i="1"/>
  <c r="AC40" i="1"/>
  <c r="AC41" i="1"/>
  <c r="AC43" i="1"/>
  <c r="AC44" i="1"/>
  <c r="AC45" i="1"/>
  <c r="AC51" i="1"/>
  <c r="AC52" i="1"/>
  <c r="AC46" i="1"/>
  <c r="AC47" i="1"/>
  <c r="AC54" i="1"/>
  <c r="AC55" i="1"/>
  <c r="AC56" i="1"/>
  <c r="AC57" i="1"/>
  <c r="AC58" i="1"/>
  <c r="AC49" i="1"/>
  <c r="AC48" i="1"/>
  <c r="AC61" i="1"/>
  <c r="AC62" i="1"/>
  <c r="AC63" i="1"/>
  <c r="AC65" i="1"/>
  <c r="AC70" i="1"/>
  <c r="AC71" i="1"/>
  <c r="AC72" i="1"/>
  <c r="AC73" i="1"/>
  <c r="AC74" i="1"/>
  <c r="AC76" i="1"/>
  <c r="AC77" i="1"/>
  <c r="AC78" i="1"/>
  <c r="AC79" i="1"/>
  <c r="AC82" i="1"/>
  <c r="AC85" i="1"/>
  <c r="AC87" i="1"/>
  <c r="AC88" i="1"/>
  <c r="AC89" i="1"/>
  <c r="AC90" i="1"/>
  <c r="AC91" i="1"/>
  <c r="AC92" i="1"/>
  <c r="AC95" i="1"/>
  <c r="AC96" i="1"/>
  <c r="AC97" i="1"/>
  <c r="AC98" i="1"/>
  <c r="AC99" i="1"/>
  <c r="AC100" i="1"/>
  <c r="AC102" i="1"/>
  <c r="AC103" i="1"/>
  <c r="AC104" i="1"/>
  <c r="AC106" i="1"/>
  <c r="AC107" i="1"/>
  <c r="AC108" i="1"/>
  <c r="AC111" i="1"/>
  <c r="AC112" i="1"/>
  <c r="AC113" i="1"/>
  <c r="AC114" i="1"/>
  <c r="AC121" i="1"/>
  <c r="AC123" i="1"/>
  <c r="AC117" i="1"/>
  <c r="AC118" i="1"/>
  <c r="AC125" i="1"/>
  <c r="AC127" i="1"/>
  <c r="AC119" i="1"/>
  <c r="AC131" i="1"/>
  <c r="AC145" i="1"/>
  <c r="AC146" i="1"/>
  <c r="AC147" i="1"/>
  <c r="AC134" i="1"/>
  <c r="AC150" i="1"/>
  <c r="AC151" i="1"/>
  <c r="AC148" i="1"/>
  <c r="AC153" i="1"/>
  <c r="AC136" i="1"/>
  <c r="AC137" i="1"/>
  <c r="AC138" i="1"/>
  <c r="AC139" i="1"/>
  <c r="AC154" i="1"/>
  <c r="AC133" i="1"/>
  <c r="AC141" i="1"/>
  <c r="AC142" i="1"/>
  <c r="AC143" i="1"/>
  <c r="AC158" i="1"/>
  <c r="AC159" i="1"/>
  <c r="AC160" i="1"/>
  <c r="AC161" i="1"/>
  <c r="AC162" i="1"/>
  <c r="AC163" i="1"/>
  <c r="AC164" i="1"/>
  <c r="AC165" i="1"/>
  <c r="AC166" i="1"/>
  <c r="AC168" i="1"/>
  <c r="AC169" i="1"/>
  <c r="AC170" i="1"/>
  <c r="AC171" i="1"/>
  <c r="AC172" i="1"/>
  <c r="Y13" i="1"/>
  <c r="Y14" i="1"/>
  <c r="Y15" i="1"/>
  <c r="Y18" i="1"/>
  <c r="Y20" i="1"/>
  <c r="Y21" i="1"/>
  <c r="Y22" i="1"/>
  <c r="Y23" i="1"/>
  <c r="Y24" i="1"/>
  <c r="Y157" i="1"/>
  <c r="Y39" i="1"/>
  <c r="Y40" i="1"/>
  <c r="Y41" i="1"/>
  <c r="Y43" i="1"/>
  <c r="Y44" i="1"/>
  <c r="Y45" i="1"/>
  <c r="Y51" i="1"/>
  <c r="Y52" i="1"/>
  <c r="Y46" i="1"/>
  <c r="Y47" i="1"/>
  <c r="Y54" i="1"/>
  <c r="Y55" i="1"/>
  <c r="Y56" i="1"/>
  <c r="Y57" i="1"/>
  <c r="Y58" i="1"/>
  <c r="Y49" i="1"/>
  <c r="Y48" i="1"/>
  <c r="Y61" i="1"/>
  <c r="Y62" i="1"/>
  <c r="Y63" i="1"/>
  <c r="Y65" i="1"/>
  <c r="Y70" i="1"/>
  <c r="Y71" i="1"/>
  <c r="Y72" i="1"/>
  <c r="Y73" i="1"/>
  <c r="Y74" i="1"/>
  <c r="Y76" i="1"/>
  <c r="Y77" i="1"/>
  <c r="Y78" i="1"/>
  <c r="Y79" i="1"/>
  <c r="Y82" i="1"/>
  <c r="Y85" i="1"/>
  <c r="Y87" i="1"/>
  <c r="Y88" i="1"/>
  <c r="Y89" i="1"/>
  <c r="Y90" i="1"/>
  <c r="Y91" i="1"/>
  <c r="Y92" i="1"/>
  <c r="Y95" i="1"/>
  <c r="Y96" i="1"/>
  <c r="Y97" i="1"/>
  <c r="Y98" i="1"/>
  <c r="Y99" i="1"/>
  <c r="Y100" i="1"/>
  <c r="Y102" i="1"/>
  <c r="Y103" i="1"/>
  <c r="Y104" i="1"/>
  <c r="Y106" i="1"/>
  <c r="Y107" i="1"/>
  <c r="Y108" i="1"/>
  <c r="Y111" i="1"/>
  <c r="Y112" i="1"/>
  <c r="Y113" i="1"/>
  <c r="Y114" i="1"/>
  <c r="Y121" i="1"/>
  <c r="Y123" i="1"/>
  <c r="Y117" i="1"/>
  <c r="Y118" i="1"/>
  <c r="Y125" i="1"/>
  <c r="Y127" i="1"/>
  <c r="Y119" i="1"/>
  <c r="Y131" i="1"/>
  <c r="Y145" i="1"/>
  <c r="Y146" i="1"/>
  <c r="Y147" i="1"/>
  <c r="Y134" i="1"/>
  <c r="Y150" i="1"/>
  <c r="Y151" i="1"/>
  <c r="Y148" i="1"/>
  <c r="Y153" i="1"/>
  <c r="Y136" i="1"/>
  <c r="Y137" i="1"/>
  <c r="Y138" i="1"/>
  <c r="Y139" i="1"/>
  <c r="Y154" i="1"/>
  <c r="Y133" i="1"/>
  <c r="Y141" i="1"/>
  <c r="Y142" i="1"/>
  <c r="Y143" i="1"/>
  <c r="Y158" i="1"/>
  <c r="Y159" i="1"/>
  <c r="Y160" i="1"/>
  <c r="Y161" i="1"/>
  <c r="Y162" i="1"/>
  <c r="Y163" i="1"/>
  <c r="Y164" i="1"/>
  <c r="Y165" i="1"/>
  <c r="Y166" i="1"/>
  <c r="Y168" i="1"/>
  <c r="Y169" i="1"/>
  <c r="Y170" i="1"/>
  <c r="Y171" i="1"/>
  <c r="Y172" i="1"/>
  <c r="U13" i="1"/>
  <c r="U14" i="1"/>
  <c r="U15" i="1"/>
  <c r="U18" i="1"/>
  <c r="U20" i="1"/>
  <c r="U21" i="1"/>
  <c r="U22" i="1"/>
  <c r="U23" i="1"/>
  <c r="U24" i="1"/>
  <c r="U157" i="1"/>
  <c r="U39" i="1"/>
  <c r="U40" i="1"/>
  <c r="U41" i="1"/>
  <c r="U43" i="1"/>
  <c r="U44" i="1"/>
  <c r="U45" i="1"/>
  <c r="U51" i="1"/>
  <c r="U52" i="1"/>
  <c r="U46" i="1"/>
  <c r="U47" i="1"/>
  <c r="U54" i="1"/>
  <c r="U55" i="1"/>
  <c r="U56" i="1"/>
  <c r="U57" i="1"/>
  <c r="U58" i="1"/>
  <c r="U49" i="1"/>
  <c r="U48" i="1"/>
  <c r="U61" i="1"/>
  <c r="U62" i="1"/>
  <c r="U63" i="1"/>
  <c r="U65" i="1"/>
  <c r="U69" i="1"/>
  <c r="AQ69" i="1" s="1"/>
  <c r="AP69" i="1" s="1"/>
  <c r="U70" i="1"/>
  <c r="U71" i="1"/>
  <c r="U72" i="1"/>
  <c r="U73" i="1"/>
  <c r="U74" i="1"/>
  <c r="U76" i="1"/>
  <c r="U77" i="1"/>
  <c r="U78" i="1"/>
  <c r="U79" i="1"/>
  <c r="U82" i="1"/>
  <c r="U85" i="1"/>
  <c r="U88" i="1"/>
  <c r="U89" i="1"/>
  <c r="U90" i="1"/>
  <c r="U91" i="1"/>
  <c r="U92" i="1"/>
  <c r="U95" i="1"/>
  <c r="U96" i="1"/>
  <c r="U97" i="1"/>
  <c r="U98" i="1"/>
  <c r="U99" i="1"/>
  <c r="U100" i="1"/>
  <c r="U102" i="1"/>
  <c r="U103" i="1"/>
  <c r="U104" i="1"/>
  <c r="U106" i="1"/>
  <c r="U107" i="1"/>
  <c r="U108" i="1"/>
  <c r="U111" i="1"/>
  <c r="U112" i="1"/>
  <c r="U113" i="1"/>
  <c r="U114" i="1"/>
  <c r="U121" i="1"/>
  <c r="U123" i="1"/>
  <c r="U117" i="1"/>
  <c r="U118" i="1"/>
  <c r="U125" i="1"/>
  <c r="U127" i="1"/>
  <c r="U119" i="1"/>
  <c r="U131" i="1"/>
  <c r="U145" i="1"/>
  <c r="U146" i="1"/>
  <c r="U147" i="1"/>
  <c r="U134" i="1"/>
  <c r="U150" i="1"/>
  <c r="U151" i="1"/>
  <c r="U148" i="1"/>
  <c r="U153" i="1"/>
  <c r="U136" i="1"/>
  <c r="U137" i="1"/>
  <c r="U138" i="1"/>
  <c r="U139" i="1"/>
  <c r="U154" i="1"/>
  <c r="U133" i="1"/>
  <c r="U141" i="1"/>
  <c r="U142" i="1"/>
  <c r="U143" i="1"/>
  <c r="U158" i="1"/>
  <c r="U159" i="1"/>
  <c r="U160" i="1"/>
  <c r="U161" i="1"/>
  <c r="U162" i="1"/>
  <c r="U163" i="1"/>
  <c r="U164" i="1"/>
  <c r="U165" i="1"/>
  <c r="U166" i="1"/>
  <c r="U168" i="1"/>
  <c r="U169" i="1"/>
  <c r="U170" i="1"/>
  <c r="U171" i="1"/>
  <c r="U172" i="1"/>
  <c r="Q13" i="1"/>
  <c r="Q14" i="1"/>
  <c r="Q15" i="1"/>
  <c r="Q18" i="1"/>
  <c r="Q20" i="1"/>
  <c r="Q21" i="1"/>
  <c r="Q22" i="1"/>
  <c r="Q23" i="1"/>
  <c r="Q24" i="1"/>
  <c r="Q157" i="1"/>
  <c r="Q39" i="1"/>
  <c r="Q40" i="1"/>
  <c r="Q41" i="1"/>
  <c r="Q43" i="1"/>
  <c r="Q44" i="1"/>
  <c r="Q45" i="1"/>
  <c r="Q51" i="1"/>
  <c r="Q52" i="1"/>
  <c r="Q46" i="1"/>
  <c r="Q47" i="1"/>
  <c r="Q54" i="1"/>
  <c r="Q55" i="1"/>
  <c r="Q56" i="1"/>
  <c r="Q57" i="1"/>
  <c r="Q58" i="1"/>
  <c r="Q49" i="1"/>
  <c r="Q48" i="1"/>
  <c r="Q61" i="1"/>
  <c r="Q62" i="1"/>
  <c r="Q63" i="1"/>
  <c r="Q65" i="1"/>
  <c r="Q71" i="1"/>
  <c r="Q72" i="1"/>
  <c r="Q73" i="1"/>
  <c r="Q74" i="1"/>
  <c r="Q76" i="1"/>
  <c r="Q77" i="1"/>
  <c r="Q78" i="1"/>
  <c r="Q79" i="1"/>
  <c r="Q82" i="1"/>
  <c r="Q85" i="1"/>
  <c r="Q87" i="1"/>
  <c r="Q88" i="1"/>
  <c r="Q89" i="1"/>
  <c r="Q90" i="1"/>
  <c r="Q91" i="1"/>
  <c r="Q92" i="1"/>
  <c r="Q95" i="1"/>
  <c r="Q96" i="1"/>
  <c r="Q97" i="1"/>
  <c r="Q98" i="1"/>
  <c r="Q99" i="1"/>
  <c r="Q100" i="1"/>
  <c r="Q102" i="1"/>
  <c r="Q103" i="1"/>
  <c r="Q104" i="1"/>
  <c r="Q106" i="1"/>
  <c r="Q107" i="1"/>
  <c r="Q108" i="1"/>
  <c r="Q111" i="1"/>
  <c r="Q112" i="1"/>
  <c r="Q113" i="1"/>
  <c r="Q114" i="1"/>
  <c r="Q121" i="1"/>
  <c r="Q123" i="1"/>
  <c r="Q117" i="1"/>
  <c r="Q118" i="1"/>
  <c r="Q125" i="1"/>
  <c r="Q127" i="1"/>
  <c r="Q119" i="1"/>
  <c r="Q131" i="1"/>
  <c r="Q145" i="1"/>
  <c r="Q146" i="1"/>
  <c r="Q147" i="1"/>
  <c r="Q134" i="1"/>
  <c r="Q150" i="1"/>
  <c r="Q151" i="1"/>
  <c r="Q148" i="1"/>
  <c r="Q153" i="1"/>
  <c r="Q136" i="1"/>
  <c r="Q137" i="1"/>
  <c r="Q138" i="1"/>
  <c r="Q139" i="1"/>
  <c r="Q154" i="1"/>
  <c r="Q133" i="1"/>
  <c r="Q141" i="1"/>
  <c r="Q142" i="1"/>
  <c r="Q143" i="1"/>
  <c r="Q158" i="1"/>
  <c r="Q159" i="1"/>
  <c r="Q160" i="1"/>
  <c r="Q161" i="1"/>
  <c r="Q162" i="1"/>
  <c r="Q163" i="1"/>
  <c r="Q164" i="1"/>
  <c r="Q165" i="1"/>
  <c r="Q166" i="1"/>
  <c r="Q168" i="1"/>
  <c r="Q169" i="1"/>
  <c r="Q170" i="1"/>
  <c r="Q171" i="1"/>
  <c r="Q172" i="1"/>
  <c r="M13" i="1"/>
  <c r="M157" i="1"/>
  <c r="M39" i="1"/>
  <c r="M40" i="1"/>
  <c r="M41" i="1"/>
  <c r="M43" i="1"/>
  <c r="M44" i="1"/>
  <c r="M45" i="1"/>
  <c r="M51" i="1"/>
  <c r="M52" i="1"/>
  <c r="M46" i="1"/>
  <c r="M47" i="1"/>
  <c r="M54" i="1"/>
  <c r="M55" i="1"/>
  <c r="M56" i="1"/>
  <c r="M57" i="1"/>
  <c r="M58" i="1"/>
  <c r="M49" i="1"/>
  <c r="M48" i="1"/>
  <c r="M61" i="1"/>
  <c r="M62" i="1"/>
  <c r="M63" i="1"/>
  <c r="M65" i="1"/>
  <c r="M70" i="1"/>
  <c r="M71" i="1"/>
  <c r="M72" i="1"/>
  <c r="M73" i="1"/>
  <c r="M74" i="1"/>
  <c r="M76" i="1"/>
  <c r="M77" i="1"/>
  <c r="M78" i="1"/>
  <c r="M79" i="1"/>
  <c r="M82" i="1"/>
  <c r="M85" i="1"/>
  <c r="M87" i="1"/>
  <c r="M88" i="1"/>
  <c r="M89" i="1"/>
  <c r="M90" i="1"/>
  <c r="M91" i="1"/>
  <c r="M92" i="1"/>
  <c r="M95" i="1"/>
  <c r="M96" i="1"/>
  <c r="M97" i="1"/>
  <c r="M98" i="1"/>
  <c r="M99" i="1"/>
  <c r="M100" i="1"/>
  <c r="M102" i="1"/>
  <c r="M103" i="1"/>
  <c r="M104" i="1"/>
  <c r="M106" i="1"/>
  <c r="M107" i="1"/>
  <c r="M108" i="1"/>
  <c r="M111" i="1"/>
  <c r="M112" i="1"/>
  <c r="M113" i="1"/>
  <c r="M114" i="1"/>
  <c r="M121" i="1"/>
  <c r="M123" i="1"/>
  <c r="M117" i="1"/>
  <c r="M118" i="1"/>
  <c r="M125" i="1"/>
  <c r="M127" i="1"/>
  <c r="M119" i="1"/>
  <c r="M131" i="1"/>
  <c r="M145" i="1"/>
  <c r="M146" i="1"/>
  <c r="M147" i="1"/>
  <c r="M134" i="1"/>
  <c r="M150" i="1"/>
  <c r="M151" i="1"/>
  <c r="M148" i="1"/>
  <c r="M153" i="1"/>
  <c r="M136" i="1"/>
  <c r="M137" i="1"/>
  <c r="M138" i="1"/>
  <c r="M139" i="1"/>
  <c r="M154" i="1"/>
  <c r="M133" i="1"/>
  <c r="M141" i="1"/>
  <c r="M142" i="1"/>
  <c r="M143" i="1"/>
  <c r="M158" i="1"/>
  <c r="M159" i="1"/>
  <c r="M160" i="1"/>
  <c r="M161" i="1"/>
  <c r="M162" i="1"/>
  <c r="M163" i="1"/>
  <c r="M164" i="1"/>
  <c r="M165" i="1"/>
  <c r="M166" i="1"/>
  <c r="M168" i="1"/>
  <c r="M169" i="1"/>
  <c r="M170" i="1"/>
  <c r="M171" i="1"/>
  <c r="M172" i="1"/>
  <c r="I13" i="1"/>
  <c r="I157" i="1"/>
  <c r="I39" i="1"/>
  <c r="I40" i="1"/>
  <c r="I41" i="1"/>
  <c r="I43" i="1"/>
  <c r="I44" i="1"/>
  <c r="I45" i="1"/>
  <c r="I51" i="1"/>
  <c r="I52" i="1"/>
  <c r="I46" i="1"/>
  <c r="I47" i="1"/>
  <c r="I54" i="1"/>
  <c r="I55" i="1"/>
  <c r="I56" i="1"/>
  <c r="I57" i="1"/>
  <c r="I58" i="1"/>
  <c r="I49" i="1"/>
  <c r="I48" i="1"/>
  <c r="I61" i="1"/>
  <c r="I62" i="1"/>
  <c r="I63" i="1"/>
  <c r="I70" i="1"/>
  <c r="I71" i="1"/>
  <c r="I72" i="1"/>
  <c r="I73" i="1"/>
  <c r="I74" i="1"/>
  <c r="I76" i="1"/>
  <c r="I77" i="1"/>
  <c r="I78" i="1"/>
  <c r="I79" i="1"/>
  <c r="I82" i="1"/>
  <c r="I85" i="1"/>
  <c r="I87" i="1"/>
  <c r="I88" i="1"/>
  <c r="I89" i="1"/>
  <c r="I90" i="1"/>
  <c r="I91" i="1"/>
  <c r="I92" i="1"/>
  <c r="I95" i="1"/>
  <c r="I96" i="1"/>
  <c r="I97" i="1"/>
  <c r="I98" i="1"/>
  <c r="I99" i="1"/>
  <c r="I100" i="1"/>
  <c r="I102" i="1"/>
  <c r="I103" i="1"/>
  <c r="I104" i="1"/>
  <c r="I106" i="1"/>
  <c r="I107" i="1"/>
  <c r="I108" i="1"/>
  <c r="I111" i="1"/>
  <c r="I112" i="1"/>
  <c r="I113" i="1"/>
  <c r="I114" i="1"/>
  <c r="I121" i="1"/>
  <c r="I123" i="1"/>
  <c r="I117" i="1"/>
  <c r="I118" i="1"/>
  <c r="I125" i="1"/>
  <c r="I127" i="1"/>
  <c r="I119" i="1"/>
  <c r="I131" i="1"/>
  <c r="I145" i="1"/>
  <c r="I146" i="1"/>
  <c r="I147" i="1"/>
  <c r="I134" i="1"/>
  <c r="I150" i="1"/>
  <c r="I151" i="1"/>
  <c r="I148" i="1"/>
  <c r="I153" i="1"/>
  <c r="I136" i="1"/>
  <c r="I137" i="1"/>
  <c r="I138" i="1"/>
  <c r="I139" i="1"/>
  <c r="I154" i="1"/>
  <c r="I133" i="1"/>
  <c r="I141" i="1"/>
  <c r="I142" i="1"/>
  <c r="I143" i="1"/>
  <c r="I158" i="1"/>
  <c r="I159" i="1"/>
  <c r="I160" i="1"/>
  <c r="I161" i="1"/>
  <c r="I162" i="1"/>
  <c r="I163" i="1"/>
  <c r="I164" i="1"/>
  <c r="I165" i="1"/>
  <c r="I166" i="1"/>
  <c r="I168" i="1"/>
  <c r="I169" i="1"/>
  <c r="I170" i="1"/>
  <c r="I171" i="1"/>
  <c r="I172" i="1"/>
  <c r="M173" i="1" l="1"/>
  <c r="AO173" i="1"/>
  <c r="AQ49" i="1"/>
  <c r="AQ52" i="1"/>
  <c r="AQ61" i="1"/>
  <c r="AQ57" i="1"/>
  <c r="AQ55" i="1"/>
  <c r="AQ47" i="1"/>
  <c r="AQ45" i="1"/>
  <c r="AQ43" i="1"/>
  <c r="AQ40" i="1"/>
  <c r="AQ24" i="1"/>
  <c r="AQ21" i="1"/>
  <c r="AQ14" i="1"/>
  <c r="AQ15" i="1"/>
  <c r="AQ170" i="1"/>
  <c r="AQ166" i="1"/>
  <c r="AQ164" i="1"/>
  <c r="AQ162" i="1"/>
  <c r="AQ160" i="1"/>
  <c r="AQ158" i="1"/>
  <c r="AQ143" i="1"/>
  <c r="AQ141" i="1"/>
  <c r="AQ154" i="1"/>
  <c r="AQ139" i="1"/>
  <c r="AQ137" i="1"/>
  <c r="AQ136" i="1"/>
  <c r="AQ150" i="1"/>
  <c r="AQ147" i="1"/>
  <c r="AQ145" i="1"/>
  <c r="AQ119" i="1"/>
  <c r="AQ125" i="1"/>
  <c r="AQ117" i="1"/>
  <c r="AQ113" i="1"/>
  <c r="AQ111" i="1"/>
  <c r="AQ108" i="1"/>
  <c r="AQ106" i="1"/>
  <c r="AQ103" i="1"/>
  <c r="AQ100" i="1"/>
  <c r="AQ98" i="1"/>
  <c r="AQ96" i="1"/>
  <c r="AQ95" i="1"/>
  <c r="AQ91" i="1"/>
  <c r="AQ89" i="1"/>
  <c r="AQ87" i="1"/>
  <c r="AQ82" i="1"/>
  <c r="AQ78" i="1"/>
  <c r="AQ74" i="1"/>
  <c r="AQ72" i="1"/>
  <c r="AQ71" i="1"/>
  <c r="AQ70" i="1"/>
  <c r="AY69" i="1"/>
  <c r="AZ69" i="1"/>
  <c r="AQ172" i="1"/>
  <c r="AZ172" i="1" s="1"/>
  <c r="AQ171" i="1"/>
  <c r="AQ169" i="1"/>
  <c r="AQ168" i="1"/>
  <c r="AQ165" i="1"/>
  <c r="AQ163" i="1"/>
  <c r="AQ161" i="1"/>
  <c r="AQ159" i="1"/>
  <c r="AQ142" i="1"/>
  <c r="AQ133" i="1"/>
  <c r="AQ138" i="1"/>
  <c r="AQ153" i="1"/>
  <c r="AQ148" i="1"/>
  <c r="AQ151" i="1"/>
  <c r="AQ134" i="1"/>
  <c r="AQ146" i="1"/>
  <c r="AQ131" i="1"/>
  <c r="AQ127" i="1"/>
  <c r="AQ118" i="1"/>
  <c r="AQ123" i="1"/>
  <c r="AQ121" i="1"/>
  <c r="AQ114" i="1"/>
  <c r="AQ112" i="1"/>
  <c r="AQ107" i="1"/>
  <c r="AQ104" i="1"/>
  <c r="AQ102" i="1"/>
  <c r="AQ99" i="1"/>
  <c r="AQ97" i="1"/>
  <c r="AQ92" i="1"/>
  <c r="AQ90" i="1"/>
  <c r="AQ88" i="1"/>
  <c r="AQ85" i="1"/>
  <c r="AQ79" i="1"/>
  <c r="AQ77" i="1"/>
  <c r="AQ76" i="1"/>
  <c r="AQ73" i="1"/>
  <c r="AQ65" i="1"/>
  <c r="AQ63" i="1"/>
  <c r="AQ62" i="1"/>
  <c r="AQ48" i="1"/>
  <c r="AQ58" i="1"/>
  <c r="AQ56" i="1"/>
  <c r="AQ54" i="1"/>
  <c r="AQ46" i="1"/>
  <c r="AQ51" i="1"/>
  <c r="AQ44" i="1"/>
  <c r="AQ41" i="1"/>
  <c r="AQ39" i="1"/>
  <c r="AQ157" i="1"/>
  <c r="AQ23" i="1"/>
  <c r="AQ22" i="1"/>
  <c r="AQ20" i="1"/>
  <c r="AQ18" i="1"/>
  <c r="AQ13" i="1"/>
  <c r="AP13" i="1" s="1"/>
  <c r="AP18" i="1" l="1"/>
  <c r="AY18" i="1" s="1"/>
  <c r="AZ56" i="1"/>
  <c r="AP56" i="1"/>
  <c r="AY56" i="1" s="1"/>
  <c r="AZ48" i="1"/>
  <c r="AP48" i="1"/>
  <c r="AY48" i="1" s="1"/>
  <c r="AZ65" i="1"/>
  <c r="AP65" i="1"/>
  <c r="AY65" i="1" s="1"/>
  <c r="AZ73" i="1"/>
  <c r="AP73" i="1"/>
  <c r="AZ77" i="1"/>
  <c r="AP77" i="1"/>
  <c r="AY77" i="1" s="1"/>
  <c r="AZ90" i="1"/>
  <c r="AP90" i="1"/>
  <c r="AY90" i="1" s="1"/>
  <c r="AZ114" i="1"/>
  <c r="AP114" i="1"/>
  <c r="AY114" i="1" s="1"/>
  <c r="AZ118" i="1"/>
  <c r="AP118" i="1"/>
  <c r="AY118" i="1" s="1"/>
  <c r="AZ131" i="1"/>
  <c r="AP131" i="1"/>
  <c r="AY131" i="1" s="1"/>
  <c r="AZ148" i="1"/>
  <c r="AP148" i="1"/>
  <c r="AY148" i="1" s="1"/>
  <c r="AZ138" i="1"/>
  <c r="AP138" i="1"/>
  <c r="AY138" i="1" s="1"/>
  <c r="AP161" i="1"/>
  <c r="AY161" i="1" s="1"/>
  <c r="AP165" i="1"/>
  <c r="AY165" i="1" s="1"/>
  <c r="AP169" i="1"/>
  <c r="AY169" i="1" s="1"/>
  <c r="AP171" i="1"/>
  <c r="AY171" i="1" s="1"/>
  <c r="AZ70" i="1"/>
  <c r="AP70" i="1"/>
  <c r="AY70" i="1" s="1"/>
  <c r="AZ71" i="1"/>
  <c r="AP71" i="1"/>
  <c r="AY71" i="1" s="1"/>
  <c r="AZ74" i="1"/>
  <c r="AP74" i="1"/>
  <c r="AY74" i="1" s="1"/>
  <c r="AZ87" i="1"/>
  <c r="AP87" i="1"/>
  <c r="AY87" i="1" s="1"/>
  <c r="AZ91" i="1"/>
  <c r="AP91" i="1"/>
  <c r="AY91" i="1" s="1"/>
  <c r="AZ111" i="1"/>
  <c r="AP111" i="1"/>
  <c r="AY111" i="1" s="1"/>
  <c r="AP117" i="1"/>
  <c r="AY117" i="1" s="1"/>
  <c r="AZ119" i="1"/>
  <c r="AP119" i="1"/>
  <c r="AY119" i="1" s="1"/>
  <c r="AP147" i="1"/>
  <c r="AY147" i="1" s="1"/>
  <c r="AZ139" i="1"/>
  <c r="AP139" i="1"/>
  <c r="AY139" i="1" s="1"/>
  <c r="AP158" i="1"/>
  <c r="AY158" i="1" s="1"/>
  <c r="AP162" i="1"/>
  <c r="AY162" i="1" s="1"/>
  <c r="AP166" i="1"/>
  <c r="AY166" i="1" s="1"/>
  <c r="AZ170" i="1"/>
  <c r="AP170" i="1"/>
  <c r="AY170" i="1" s="1"/>
  <c r="AP14" i="1"/>
  <c r="AY14" i="1" s="1"/>
  <c r="AP55" i="1"/>
  <c r="AY55" i="1" s="1"/>
  <c r="AZ22" i="1"/>
  <c r="AP22" i="1"/>
  <c r="AY22" i="1" s="1"/>
  <c r="AZ23" i="1"/>
  <c r="AP23" i="1"/>
  <c r="AY23" i="1" s="1"/>
  <c r="AZ157" i="1"/>
  <c r="AP157" i="1"/>
  <c r="AY157" i="1" s="1"/>
  <c r="AZ41" i="1"/>
  <c r="AP41" i="1"/>
  <c r="AY41" i="1" s="1"/>
  <c r="AP54" i="1"/>
  <c r="AY54" i="1" s="1"/>
  <c r="AP58" i="1"/>
  <c r="AY58" i="1" s="1"/>
  <c r="AP62" i="1"/>
  <c r="AY62" i="1" s="1"/>
  <c r="AP63" i="1"/>
  <c r="AY63" i="1" s="1"/>
  <c r="AP88" i="1"/>
  <c r="AY88" i="1" s="1"/>
  <c r="AP92" i="1"/>
  <c r="AY92" i="1" s="1"/>
  <c r="AZ97" i="1"/>
  <c r="AP97" i="1"/>
  <c r="AY97" i="1" s="1"/>
  <c r="AP107" i="1"/>
  <c r="AY107" i="1" s="1"/>
  <c r="AZ112" i="1"/>
  <c r="AP112" i="1"/>
  <c r="AY112" i="1" s="1"/>
  <c r="AZ121" i="1"/>
  <c r="AP121" i="1"/>
  <c r="AY121" i="1" s="1"/>
  <c r="AZ123" i="1"/>
  <c r="AP123" i="1"/>
  <c r="AY123" i="1" s="1"/>
  <c r="AZ127" i="1"/>
  <c r="AP127" i="1"/>
  <c r="AY127" i="1" s="1"/>
  <c r="AP151" i="1"/>
  <c r="AY151" i="1" s="1"/>
  <c r="AZ159" i="1"/>
  <c r="AP159" i="1"/>
  <c r="AY159" i="1" s="1"/>
  <c r="AZ163" i="1"/>
  <c r="AP163" i="1"/>
  <c r="AY163" i="1" s="1"/>
  <c r="AP168" i="1"/>
  <c r="AY168" i="1" s="1"/>
  <c r="AP172" i="1"/>
  <c r="AY172" i="1" s="1"/>
  <c r="AP72" i="1"/>
  <c r="AY72" i="1" s="1"/>
  <c r="AZ89" i="1"/>
  <c r="AP89" i="1"/>
  <c r="AY89" i="1" s="1"/>
  <c r="AZ108" i="1"/>
  <c r="AP108" i="1"/>
  <c r="AP113" i="1"/>
  <c r="AY113" i="1" s="1"/>
  <c r="AZ125" i="1"/>
  <c r="AP125" i="1"/>
  <c r="AY125" i="1" s="1"/>
  <c r="AZ137" i="1"/>
  <c r="AP137" i="1"/>
  <c r="AY137" i="1" s="1"/>
  <c r="AZ160" i="1"/>
  <c r="AP160" i="1"/>
  <c r="AY160" i="1" s="1"/>
  <c r="AZ164" i="1"/>
  <c r="AP164" i="1"/>
  <c r="AY164" i="1" s="1"/>
  <c r="AP24" i="1"/>
  <c r="AY24" i="1" s="1"/>
  <c r="AP57" i="1"/>
  <c r="AY57" i="1" s="1"/>
  <c r="AZ51" i="1"/>
  <c r="AP51" i="1"/>
  <c r="AY51" i="1" s="1"/>
  <c r="AZ52" i="1"/>
  <c r="AP52" i="1"/>
  <c r="AY52" i="1" s="1"/>
  <c r="AP61" i="1"/>
  <c r="AY61" i="1" s="1"/>
  <c r="AP76" i="1"/>
  <c r="AY76" i="1" s="1"/>
  <c r="AP79" i="1"/>
  <c r="AY79" i="1" s="1"/>
  <c r="AZ78" i="1"/>
  <c r="AP78" i="1"/>
  <c r="AY78" i="1" s="1"/>
  <c r="AZ82" i="1"/>
  <c r="AP82" i="1"/>
  <c r="AY82" i="1" s="1"/>
  <c r="AZ85" i="1"/>
  <c r="AP85" i="1"/>
  <c r="AY85" i="1" s="1"/>
  <c r="AZ95" i="1"/>
  <c r="AP95" i="1"/>
  <c r="AY95" i="1" s="1"/>
  <c r="AZ96" i="1"/>
  <c r="AP96" i="1"/>
  <c r="AY96" i="1" s="1"/>
  <c r="AZ98" i="1"/>
  <c r="AP98" i="1"/>
  <c r="AY98" i="1" s="1"/>
  <c r="AP99" i="1"/>
  <c r="AY99" i="1" s="1"/>
  <c r="AZ100" i="1"/>
  <c r="AP100" i="1"/>
  <c r="AY100" i="1" s="1"/>
  <c r="AZ102" i="1"/>
  <c r="AP102" i="1"/>
  <c r="AY102" i="1" s="1"/>
  <c r="AP103" i="1"/>
  <c r="AY103" i="1" s="1"/>
  <c r="AZ104" i="1"/>
  <c r="AP104" i="1"/>
  <c r="AY104" i="1" s="1"/>
  <c r="AZ106" i="1"/>
  <c r="AP106" i="1"/>
  <c r="AY106" i="1" s="1"/>
  <c r="AP133" i="1"/>
  <c r="AY133" i="1" s="1"/>
  <c r="AZ134" i="1"/>
  <c r="AP134" i="1"/>
  <c r="AY134" i="1" s="1"/>
  <c r="AZ136" i="1"/>
  <c r="AP136" i="1"/>
  <c r="AY136" i="1" s="1"/>
  <c r="AZ141" i="1"/>
  <c r="AP141" i="1"/>
  <c r="AY141" i="1" s="1"/>
  <c r="AZ142" i="1"/>
  <c r="AP142" i="1"/>
  <c r="AP143" i="1"/>
  <c r="AY143" i="1" s="1"/>
  <c r="AZ145" i="1"/>
  <c r="AP145" i="1"/>
  <c r="AY145" i="1" s="1"/>
  <c r="AZ146" i="1"/>
  <c r="AP146" i="1"/>
  <c r="AY146" i="1" s="1"/>
  <c r="AZ150" i="1"/>
  <c r="AP150" i="1"/>
  <c r="AY150" i="1" s="1"/>
  <c r="AZ154" i="1"/>
  <c r="AP154" i="1"/>
  <c r="AY154" i="1" s="1"/>
  <c r="AP153" i="1"/>
  <c r="AY153" i="1" s="1"/>
  <c r="AZ49" i="1"/>
  <c r="AP49" i="1"/>
  <c r="AY49" i="1" s="1"/>
  <c r="AP47" i="1"/>
  <c r="AY47" i="1" s="1"/>
  <c r="AP46" i="1"/>
  <c r="AY46" i="1" s="1"/>
  <c r="AP45" i="1"/>
  <c r="AY45" i="1" s="1"/>
  <c r="AZ44" i="1"/>
  <c r="AP44" i="1"/>
  <c r="AY44" i="1" s="1"/>
  <c r="AZ43" i="1"/>
  <c r="AP43" i="1"/>
  <c r="AY43" i="1" s="1"/>
  <c r="AP40" i="1"/>
  <c r="AY40" i="1" s="1"/>
  <c r="AZ39" i="1"/>
  <c r="AP39" i="1"/>
  <c r="AY39" i="1" s="1"/>
  <c r="AP21" i="1"/>
  <c r="AY21" i="1" s="1"/>
  <c r="AZ20" i="1"/>
  <c r="AP20" i="1"/>
  <c r="AY20" i="1" s="1"/>
  <c r="AP15" i="1"/>
  <c r="AY15" i="1" s="1"/>
  <c r="AY108" i="1"/>
  <c r="AY142" i="1"/>
  <c r="AZ79" i="1"/>
  <c r="AZ103" i="1"/>
  <c r="AZ63" i="1"/>
  <c r="AZ151" i="1"/>
  <c r="AZ107" i="1"/>
  <c r="AZ92" i="1"/>
  <c r="AZ55" i="1"/>
  <c r="AZ88" i="1"/>
  <c r="AZ45" i="1"/>
  <c r="AZ147" i="1"/>
  <c r="AZ99" i="1"/>
  <c r="AZ76" i="1"/>
  <c r="AZ62" i="1"/>
  <c r="AZ57" i="1"/>
  <c r="AZ166" i="1"/>
  <c r="AZ113" i="1"/>
  <c r="AZ158" i="1"/>
  <c r="AZ165" i="1"/>
  <c r="AZ153" i="1"/>
  <c r="AZ133" i="1"/>
  <c r="AZ117" i="1"/>
  <c r="AZ58" i="1"/>
  <c r="AZ54" i="1"/>
  <c r="AZ24" i="1"/>
  <c r="AZ14" i="1"/>
  <c r="AZ169" i="1"/>
  <c r="AZ171" i="1"/>
  <c r="AZ162" i="1"/>
  <c r="AZ161" i="1"/>
  <c r="AZ72" i="1"/>
  <c r="AZ47" i="1"/>
  <c r="AZ21" i="1"/>
  <c r="AZ40" i="1"/>
  <c r="AZ61" i="1"/>
  <c r="AZ143" i="1"/>
  <c r="AZ15" i="1"/>
  <c r="AZ46" i="1"/>
  <c r="AZ168" i="1"/>
  <c r="AZ18" i="1"/>
  <c r="AY73" i="1"/>
  <c r="AY13" i="1"/>
  <c r="AW173" i="1"/>
  <c r="AK173" i="1"/>
  <c r="AG173" i="1"/>
  <c r="Y173" i="1"/>
  <c r="U173" i="1"/>
  <c r="Q173" i="1"/>
  <c r="I173" i="1"/>
  <c r="AC173" i="1" l="1"/>
  <c r="AQ173" i="1" l="1"/>
  <c r="AZ173" i="1"/>
  <c r="AP173" i="1"/>
  <c r="AY17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Данилова Светлана Радиковна</author>
  </authors>
  <commentList>
    <comment ref="B15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Данилова Светлана Радиковна:</t>
        </r>
        <r>
          <rPr>
            <sz val="9"/>
            <color indexed="81"/>
            <rFont val="Tahoma"/>
            <family val="2"/>
            <charset val="204"/>
          </rPr>
          <t xml:space="preserve">
какой гцтэт?</t>
        </r>
      </text>
    </comment>
  </commentList>
</comments>
</file>

<file path=xl/sharedStrings.xml><?xml version="1.0" encoding="utf-8"?>
<sst xmlns="http://schemas.openxmlformats.org/spreadsheetml/2006/main" count="623" uniqueCount="236">
  <si>
    <t>Характеристика убираемых внутренних помещений</t>
  </si>
  <si>
    <t>Характеристика убираемых прилегающих территорий (кв.м.)</t>
  </si>
  <si>
    <t>Общая убираемая площадь помещений объекта  (кв.м.)</t>
  </si>
  <si>
    <t>Типы помещений объекта (кв.м.)</t>
  </si>
  <si>
    <t>№ п/п</t>
  </si>
  <si>
    <t>Наименование объекта</t>
  </si>
  <si>
    <t xml:space="preserve">Объект предоставления услуг </t>
  </si>
  <si>
    <t>Офисные помещения (кв.м)</t>
  </si>
  <si>
    <t>Технологические помещения связи (кв.м)</t>
  </si>
  <si>
    <t>Помещения коммерческого назначения (точки продаж) (кв.м)</t>
  </si>
  <si>
    <t>Складские помещения (кв.м)</t>
  </si>
  <si>
    <t>Помещения вспомогательного назначения (кв.м)</t>
  </si>
  <si>
    <t>Помещения гаража (кв.м)</t>
  </si>
  <si>
    <t>Места общего пользования (кв.м)</t>
  </si>
  <si>
    <t>С/У (туалетные комнаты) (кв.м)</t>
  </si>
  <si>
    <t>Требуемая  периодичность</t>
  </si>
  <si>
    <t>Административно- производственное здание (АТС)</t>
  </si>
  <si>
    <t>Гаражное помещение</t>
  </si>
  <si>
    <t>Здание АТС</t>
  </si>
  <si>
    <t>прочие</t>
  </si>
  <si>
    <t>Расчётно-сервисный центр</t>
  </si>
  <si>
    <t>Районный узел электросвязи</t>
  </si>
  <si>
    <t>*Стоимость услуг в месяц с НДС (руб.)</t>
  </si>
  <si>
    <t>*Стоимость услуг в месяц без НДС (руб.)</t>
  </si>
  <si>
    <t>*ИТОГО, стоимость услуг по объекту в месяц, с НДС (руб.)</t>
  </si>
  <si>
    <t>*ИТОГО, стоимость услуг по объекту в месяц, без НДС (руб.)</t>
  </si>
  <si>
    <t>*Стоимость кв.м в месяц без НДС (руб.)</t>
  </si>
  <si>
    <t>*Стоимость кв. м в месяц с НДС (руб.)</t>
  </si>
  <si>
    <t>*Стоимость услуг (уборка прилегающих территорий) в месяц, без НДС (руб.)</t>
  </si>
  <si>
    <t>*Стоимость услуг (уборка прилегающих территорий) в месяц, с НДС (руб.)</t>
  </si>
  <si>
    <t>*Стоимость услуг (уборка внутренних помещений) в месяц, без НДС (руб.)</t>
  </si>
  <si>
    <t>*Стоимость услуг (уборка внутренних помещений) в месяц, с НДС (руб.)</t>
  </si>
  <si>
    <t>*Общая стоимость услуг с НДС (руб.)</t>
  </si>
  <si>
    <t>9=8*6</t>
  </si>
  <si>
    <t>13=12*10</t>
  </si>
  <si>
    <t>17=16*14</t>
  </si>
  <si>
    <t>21=20*18</t>
  </si>
  <si>
    <t>25=24*22</t>
  </si>
  <si>
    <t>29=28*26</t>
  </si>
  <si>
    <t>33=32*30</t>
  </si>
  <si>
    <t>37=36*34</t>
  </si>
  <si>
    <t>41=40*38</t>
  </si>
  <si>
    <t>43=9+13+17+21+25+29+33+37+41</t>
  </si>
  <si>
    <t>Общая Убираемая площадь территории (кв.м)</t>
  </si>
  <si>
    <t>В том числе Обслуживаемая площадь газонов, (кв.м)</t>
  </si>
  <si>
    <t xml:space="preserve">АДРЕСА ЗДАНИЙ, ПЛОЩАДИ И СТОИМОСТЬ ОКАЗАНИЯ УСЛУГ ПО КОМПЛЕКСНОЙ УБОРКЕ ОБЪЕКТОВ  </t>
  </si>
  <si>
    <t>Республика Башкортостан, г.Уфа, ул.Гагарина, 39/2</t>
  </si>
  <si>
    <t>Республика Башкортостан, г.Уфа, ул.Кирова, 105</t>
  </si>
  <si>
    <t>Республика Башкортостан, г.Уфа, ул.Победы, 21/1</t>
  </si>
  <si>
    <t>Республика Башкортостан, г.Уфа, ул.Рабкоров 6/1</t>
  </si>
  <si>
    <t>Республика Башкортостан, г.Уфа, ул.Российская, 19</t>
  </si>
  <si>
    <t>Республика Башкортостан, г.Уфа, ул.Ст. Халтурина, 30</t>
  </si>
  <si>
    <t>г. Уфа</t>
  </si>
  <si>
    <t xml:space="preserve">Бирский МЦТЭТ </t>
  </si>
  <si>
    <t>Республика Башкортостан, г.Уфа, ул.Айская, 69/2</t>
  </si>
  <si>
    <t>Цех ТВ и РВ</t>
  </si>
  <si>
    <t>Республика Башкортостан, г.Уфа, ул.Гафури, 9</t>
  </si>
  <si>
    <t>пос. АМЗЯ, ул. Свердлова 12в</t>
  </si>
  <si>
    <t>с. Николо-Березовка,ул.К.Маркса 7  3 этаж</t>
  </si>
  <si>
    <t>Цех электросвязи г. Межгорье</t>
  </si>
  <si>
    <t>Мелеузовский МЦТЭТ</t>
  </si>
  <si>
    <t>Белорецкий МЦТЭТ -центр</t>
  </si>
  <si>
    <t xml:space="preserve">Мелеузовский МЦТЭТ -центр  </t>
  </si>
  <si>
    <t>Месягутовский МЦТЭТ</t>
  </si>
  <si>
    <t>Сибайский МЦТЭТ</t>
  </si>
  <si>
    <t>Сибайский МЦТЭТ-центр</t>
  </si>
  <si>
    <t>Туймазинский МЦТЭТ</t>
  </si>
  <si>
    <t>ООО "Ростелеком-розничные системы"</t>
  </si>
  <si>
    <t>Республика Башкортостан, г.Бирск, Октябрьская пл. 4</t>
  </si>
  <si>
    <t>Республика Башкортостан, г.Уфа, ул.Борисоглебская, 41</t>
  </si>
  <si>
    <t>Республика Башкортостан, г.Бирск, Интернациональная 119</t>
  </si>
  <si>
    <t>Республика Башкортостан, Аскинский район, с.Аскино, ул.Советская 7</t>
  </si>
  <si>
    <t>Республика Башкортостан, Бураевский район, с.Бураево, ул.Ленина, 106</t>
  </si>
  <si>
    <t xml:space="preserve">Республика Башкортостан, г.Дюртюли, ул.Ленина,20 </t>
  </si>
  <si>
    <t>Республика Башкортостан, Татышлинский район, с.Татышлы,Ленина 90</t>
  </si>
  <si>
    <t>Республика Башкортостан, Караидельский район,с. Караидель,ул.Ленина, 34</t>
  </si>
  <si>
    <t>Республика Башкортостан, Мишкинский район, с. Мишкино, ул.Ленина,116</t>
  </si>
  <si>
    <t>Республика Башкортостан, г. Нефтекамск, ул.Социалистическая 85</t>
  </si>
  <si>
    <t>Республика Башкортостан, г. Нефтекамск, ул.Ленина 13</t>
  </si>
  <si>
    <t>Республика Башкортостан, Балтачевский район, с. Старобалтачево, ул.Советская 31</t>
  </si>
  <si>
    <t>Республика Башкортостан, г. Янаул, ул.Худайбердина 5</t>
  </si>
  <si>
    <t xml:space="preserve"> Белорецкий МЦТЭТ</t>
  </si>
  <si>
    <t>Республика Башкортостан, г. Белорецк, ул. Ленина,41</t>
  </si>
  <si>
    <t>Республика Башкортостан, Белорецкий район, п.В.Авзян, ул. Блюхера, 68</t>
  </si>
  <si>
    <t>Республика Башкортостан,г.Учалы ул. М.Горького 4а</t>
  </si>
  <si>
    <t>Республика Башкортостан,г.Учалы ул. К.Маркса,22</t>
  </si>
  <si>
    <t>Республика Башкортостан,с.Учалы, ул. Советская,35</t>
  </si>
  <si>
    <t>Республика Башкортостан,Учалинский район,п. Уральск, ул. Советская, 17</t>
  </si>
  <si>
    <t>Республика Башкортостан,Учалинский район,п. Миндяк, ул. Уфимская, 1а</t>
  </si>
  <si>
    <t>Республика Башкортостан,Учалинский район,п.Ахуново, ул. Партизанская</t>
  </si>
  <si>
    <t>Республика Башкортостан,Учалинский район,п. Кунакбаево,ул. Школьная,8</t>
  </si>
  <si>
    <t>Республика Башкортостан,Учалинский район,д. Уразово, ул. Центральная,18</t>
  </si>
  <si>
    <t>Республика Башкортостан,Учалинский район,п. Озерный, ул. Школьная,30</t>
  </si>
  <si>
    <t>Республика Башкортостан,Учалинский район,г. Учалы-2,пер. Школьный,1</t>
  </si>
  <si>
    <t>Республика Башкортостан, Белорецкий район, г. Межгорье,ул. Кооперативная, 5</t>
  </si>
  <si>
    <t>Республика Башкортостан, Белорецкий район, г. Межгорье,ул. Дудорова, 2</t>
  </si>
  <si>
    <t>Республика Башкортостан, г. Мелеуз,ул.Воровского 2</t>
  </si>
  <si>
    <t>Республика Башкортостан, г. Мелеуз, ул.Смоленская 45</t>
  </si>
  <si>
    <t>Республика Башкортостан, г. Кумертау, ул.Ленина, 5</t>
  </si>
  <si>
    <t>Республика Башкортостан, г. Кумертау, ул. Ленина, 6а</t>
  </si>
  <si>
    <t xml:space="preserve">Республика Башкортостан, г. Кумертау, ул.Куюргазинская, 2а </t>
  </si>
  <si>
    <t>Республика Башкортостан, Куюргазинский район, пгт.Ермолаево, ул.Советская,105</t>
  </si>
  <si>
    <t>Республика Башкортостан, Зианчуринский район, с. Исянгулово, ул.Советская 7</t>
  </si>
  <si>
    <t>Республика Башкортостан, Зианчуринский район, с. Исянгулово,ул. Окт. революции, 49/11</t>
  </si>
  <si>
    <t xml:space="preserve"> Республика Башкортостан, Кугарчинский район, с. Мраково, ул.З.Биишевой 84</t>
  </si>
  <si>
    <t>Месягутовский МЦТЭТ-центр</t>
  </si>
  <si>
    <t>Республика Башкортостан, Дуванский район, с. Месягутово, ул. Коммунистическая, 24</t>
  </si>
  <si>
    <t>Республика Башкортостан, Дуванский район, с. Дуван, ул. Михляева, 1а</t>
  </si>
  <si>
    <t>Республика Башкортостан, Мечетлинский район,с. Большеустьикинское, ул. Ленина, 24</t>
  </si>
  <si>
    <t>Республика Башкортостан, Кигинский район,с. Верхние Киги, ул. Советская, 12</t>
  </si>
  <si>
    <t>Республика Башкортостан, Салаватский район, с. Малояз, ул. Советская, 63</t>
  </si>
  <si>
    <t>Республика Башкортостан, Белокатайский район,с. Новобелокатай, ул. Советская, 107</t>
  </si>
  <si>
    <t>Республика Башкортостан, Хайбуллинский район, с. Акъяр, ул.Акмуллы, 7</t>
  </si>
  <si>
    <t>Республика Башкортостан, г. Баймак,пр. С. Юлаева, 44</t>
  </si>
  <si>
    <t>Республика Башкортостан, Зилаирский район,с. Зилаир, ул. Ленина, д. 64а</t>
  </si>
  <si>
    <t>Республика Башкортостан, г. Сибай, ул. Горького 53а</t>
  </si>
  <si>
    <t>Республика Башкортостан, г.Сибай,ул.Кирова,31</t>
  </si>
  <si>
    <t>Республика Башкортостан, г. Сибай,ул.Индустриальное шоссе, 2</t>
  </si>
  <si>
    <t>Республика Башкортостан, г. Стерлитамак, ул.Гоголя 118а (АТС-26)</t>
  </si>
  <si>
    <t>Республика Башкортостан, г. Стерлитамак, ул.Салавата Юлаева - 13а (АТС-28)</t>
  </si>
  <si>
    <t xml:space="preserve">Республика Башкортостан, г. Стерлитамак, ул.Худайбердина - 105 </t>
  </si>
  <si>
    <t xml:space="preserve">Республика Башкортостан, г. Ишимбай, ул.Советская -74 </t>
  </si>
  <si>
    <t xml:space="preserve">Республика Башкортостан, г. Салават, ул.Октябрьская - 33 </t>
  </si>
  <si>
    <t>Республика Башкортостан, г. Салават, ул.Гагарина - 5 (АТС -35)</t>
  </si>
  <si>
    <t>Республика Башкортостан, г. Салават, ул.Островского - 53 (АТС -33-34)</t>
  </si>
  <si>
    <t>Республика Башкортостан, Стерлибашевский район, с. Стерлибашево, ул.Карла Маркса - 109</t>
  </si>
  <si>
    <t xml:space="preserve">Республика Башкортостан,Аургазинский район, с. Толбазы, ул.Первомайская - 12 </t>
  </si>
  <si>
    <t xml:space="preserve">Республика Башкортостан, Федоровский район, с.Федоровка, ул.Коммунистическая - 72 </t>
  </si>
  <si>
    <t>Республика Башкортостан, Бакалинский район, с. Бакалы,ул.Мостовая,4</t>
  </si>
  <si>
    <t>Республика Башкортостан, г.Белебей, ул.Ленина, 7</t>
  </si>
  <si>
    <t>Республика Башкортостан, Белебеевский район,п.Приютово, Бульвар Мира, 2а</t>
  </si>
  <si>
    <t>Республика Башкортостан, Бижбулякский район, с. Бижбуляк, ул.Центральная, 50а</t>
  </si>
  <si>
    <t>Республика Башкортостан, Буздякский район, с. Буздяк, ул.Красная площадь,19</t>
  </si>
  <si>
    <t>Республика Башкортостан, г.Давлеканово, ул.Победы 29</t>
  </si>
  <si>
    <t>Республика Башкортостан, г.Давлеканово, ул.Высоковольтная 20/2</t>
  </si>
  <si>
    <t>Республика Башкортостан, Ермекеевский район, с.Ермекеево, ул.Ленина, 17</t>
  </si>
  <si>
    <t>Республика Башкортостан, Миякинский район, с. Киргиз-Мияки,ул.Ленина 21</t>
  </si>
  <si>
    <t>Республика Башкортостан, г. Октябрьск, ул. Ленина.59</t>
  </si>
  <si>
    <t>Республика Башкортостан, г. Октябрьск, ул.Горького,40</t>
  </si>
  <si>
    <t>Республика Башкортостан, г. Октябрьск, ул.Герцена, 20а</t>
  </si>
  <si>
    <t>Республика Башкортостан, г. Октябрьск, ул.Девонская,87</t>
  </si>
  <si>
    <t>Республика Башкортостан, г. Туймазы, ул.Чехова, 1Б</t>
  </si>
  <si>
    <t>Республика Башкортостан,Чекмагушевский район,с. Чекмагуш, ул.Ленина 57</t>
  </si>
  <si>
    <t>Республика Башкортостан,Шаранский район,с. Шаран, Центральная 23</t>
  </si>
  <si>
    <t>Республика Башкортостан, Благоварский район, с. Языково, ул.Ленина,  83</t>
  </si>
  <si>
    <t>Республика Башкортостан, г. Нефтекамск,ул.Социалистическая,85</t>
  </si>
  <si>
    <t>Республика Башкортостан, г. Янаул,ул.Худайбердина,5</t>
  </si>
  <si>
    <t>Республика Башкортостан,Гафурийский район, п. Красноусольский, ул.Коммунистическая,10</t>
  </si>
  <si>
    <t>Республика Башкортостан,г. Салават, ул.Октябрьская,33</t>
  </si>
  <si>
    <t>Республика Башкортостан, г. Стерлитамак, ул.Сакко и Ванцетти - 23</t>
  </si>
  <si>
    <t>Республика Башкортостан, Гафурийский район, п. Красноусольский,ул.Коммунистическая - 10</t>
  </si>
  <si>
    <t>Республика Башкортостан, Абзелиловский район, с. Аскарово, ул. Ленина, 35</t>
  </si>
  <si>
    <t>Республика Башкортостан, Бурзянский район, с. Старосубхангулово, ул. Ленина, 84</t>
  </si>
  <si>
    <t>Республика Башкортостан, Илишевский район, с. Верхнеяркеево, ул.Красноармейская 37</t>
  </si>
  <si>
    <t>Салаватский ЛТЦ</t>
  </si>
  <si>
    <t>Республика Башкортостан, Куюргазинский район, пгт.Ермолаево, пр. Мира,6</t>
  </si>
  <si>
    <t>Нефтекамский  МЦТЭТ</t>
  </si>
  <si>
    <t>Республика Башкортостан, г.Агидель,ул. Академика Курчатова 15</t>
  </si>
  <si>
    <t>Учалинский ЛТЦ</t>
  </si>
  <si>
    <t>Кумертауский ЛТЦ</t>
  </si>
  <si>
    <t>Стерлитамакский ГЦТЭТ - центр</t>
  </si>
  <si>
    <t>Ишимбайский МЦТЭТ</t>
  </si>
  <si>
    <t>Белебеевский МЦТЭТ</t>
  </si>
  <si>
    <t>Давлекановский  ЛТЦ</t>
  </si>
  <si>
    <t>Киргиз-Миякинский ЛТЦ</t>
  </si>
  <si>
    <t>Октябрьский ЛТЦ</t>
  </si>
  <si>
    <t>Туймазинский МУЭС-центр</t>
  </si>
  <si>
    <t>Чекмагушевский ЛТЦ</t>
  </si>
  <si>
    <t>Республика Башкортостан, г. Баймак,микрорайон "Северо-восточный,ул.Худайбердина</t>
  </si>
  <si>
    <t>Республика Башкортостан, г. Белорецк,ул.Грязнова,100</t>
  </si>
  <si>
    <t>Республика Башкортостан, Бакалинский район, с.Старогусево РТПС</t>
  </si>
  <si>
    <t>Республика Башкортостан, г. Белебеей,ул.Дорожная,2д РТС</t>
  </si>
  <si>
    <t>Республика Башкортостан, Дуванский район, с. Месягутово,ул.Магистральная,42</t>
  </si>
  <si>
    <t>Республика Башкортостан, Салаватский район, г.Салават,станция Южная,1</t>
  </si>
  <si>
    <t>Республика Башкортостан, Зианчуринский район, с. Исянгулово,ул.М.Гафури,16</t>
  </si>
  <si>
    <t>Республика Башкортостан, Благоварский район, с. Языково, 1,5 км.от автодороги в сторону Узербаш</t>
  </si>
  <si>
    <t xml:space="preserve">Республика Башкортостан, г.Белорецк, ул. Челябинская, 13 </t>
  </si>
  <si>
    <t>Здание ЛТЦ</t>
  </si>
  <si>
    <t>Здание МЦТЭТ</t>
  </si>
  <si>
    <t>Здание электросвязи</t>
  </si>
  <si>
    <t>Здание ГЦТЭТ</t>
  </si>
  <si>
    <t>Здание МУЭС</t>
  </si>
  <si>
    <t>Расчётно-сервисный центр РП-1</t>
  </si>
  <si>
    <t>ИТОГО по ПАО "Башинфорсвязь"</t>
  </si>
  <si>
    <t>Бирский МУЭС-центр,Здание ГТС</t>
  </si>
  <si>
    <t>Гаражное помещение, Здание ЛТЦ</t>
  </si>
  <si>
    <t>Республика Башкортостан, г.Бирск, ул. Бурновская, 10</t>
  </si>
  <si>
    <t>Республика Башкортостан, г.Бирск,8 Марта 38а</t>
  </si>
  <si>
    <t>Стерлитамакский ГЦТЭТ</t>
  </si>
  <si>
    <t>Караидельский ЛТЦ</t>
  </si>
  <si>
    <t>Мишкинский ЛТЦ</t>
  </si>
  <si>
    <t>В.Татышлинский ЛТЦ</t>
  </si>
  <si>
    <t>Бураевский ЛТЦ</t>
  </si>
  <si>
    <t>Аскинский ЛТЦ</t>
  </si>
  <si>
    <t>Республика Башкортостан, с.Калтасы,ул. К.Маркса-49</t>
  </si>
  <si>
    <t>Республика Башкортостан, г.Уфа, ул.Ленина, 30</t>
  </si>
  <si>
    <t>Республика Башкортостан, г.Уфа, ул.Ленина, 32</t>
  </si>
  <si>
    <t>ТЦТЭТ</t>
  </si>
  <si>
    <t>Республика Башкортостан, Бураевский район, с.Бураево,Уф.шоссе 2/1</t>
  </si>
  <si>
    <t>РТПС</t>
  </si>
  <si>
    <t>Участок спецсвязь</t>
  </si>
  <si>
    <t>Республика Башкортостан,г. Уфа, ул. Ленина, 30</t>
  </si>
  <si>
    <t>50=48*44</t>
  </si>
  <si>
    <t>51=42+49</t>
  </si>
  <si>
    <t>52=43+50</t>
  </si>
  <si>
    <t>49=47*44</t>
  </si>
  <si>
    <t>Республика Башкортостан, г.Уфа, ул.Каспийская 14</t>
  </si>
  <si>
    <t>Адрес объекта (полный, с указанием субъекта федерации)</t>
  </si>
  <si>
    <t>Помещения руководства  (VIP зоны) (кв.м)</t>
  </si>
  <si>
    <t>ТИП ЗДАНИЯ (прочие объекты )</t>
  </si>
  <si>
    <t>Согласно Приложения № 2 к Договору</t>
  </si>
  <si>
    <t>Республика Башкортостан, г.Уфа, ул.Ленина, 30/1</t>
  </si>
  <si>
    <t>Республика Башкортостан, г. Стерлитамакский район, с. Наумовка, ул.Ленина - 37</t>
  </si>
  <si>
    <t>Стерлтбашевский ЛТЦ</t>
  </si>
  <si>
    <t>Красноусольский ЛТЦ</t>
  </si>
  <si>
    <t>Толбазинский ЛТЦ</t>
  </si>
  <si>
    <t>Федоровский ЛТЦ</t>
  </si>
  <si>
    <t>ЦМТЭТ</t>
  </si>
  <si>
    <t>Центральный МЦТЭТ</t>
  </si>
  <si>
    <t>Республика Башкортостан, Благовнщенск, ул. Седова, 118/3</t>
  </si>
  <si>
    <t>Республика Башкортостан, Благовнщенск, ул. Советская, 28</t>
  </si>
  <si>
    <t>Республика Башкортостан, с. Иглино, ул.Свердлова, 9</t>
  </si>
  <si>
    <t xml:space="preserve">Республика Башкортостан,Нуримановский район , с.Красная Горка ,ул.Советская ,53 </t>
  </si>
  <si>
    <t>Республика Башкортостан,Нуримановский район ,с.Новокулево , ул.Советская ,2</t>
  </si>
  <si>
    <t>Республика Башкортостан,Нуримановский район ,с.Красный Ключ  , ул.Валеева ,2</t>
  </si>
  <si>
    <t>Республика Башкортостан,Нуримановский район ,с.Павловка   , ул.Графтио,39</t>
  </si>
  <si>
    <t>РБ, Кушнаренковскиий р-н с.Кушнаренково ул. Октябрьская 64</t>
  </si>
  <si>
    <t>Республика Башкортостан, р.п. Чишмы, ул. Кирова, д.48А</t>
  </si>
  <si>
    <t>Республика Башкортостан, Кармаскалинский р-н, с.Кармаскалы, ул.Садовая, д.22</t>
  </si>
  <si>
    <t>Республика Башкортостан, Архангельский р-н, с.Архангельское, ул.Советская, д.39</t>
  </si>
  <si>
    <t xml:space="preserve">Янаульский ЛТЦ </t>
  </si>
  <si>
    <t xml:space="preserve"> </t>
  </si>
  <si>
    <t>ПРИЛОЖЕНИЕ № 1 к Дополнительному соглашению № 1 к Договору № 1 от 01.04.2019г.</t>
  </si>
  <si>
    <t>Республика Башкортостан, г.Уфа, ул.Ленина, 32/1</t>
  </si>
  <si>
    <t>Республика Башкортостан, г. Уфа, ул.Ленина,30</t>
  </si>
  <si>
    <t>Республика Башкортостан, Альшеевский район, с. Раевка, ул.Ленина,114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</si>
</sst>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00000"/>
    <numFmt numFmtId="169" formatCode="0.0"/>
  </numFmts>
  <fonts count="39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rgb="FFFF0000"/>
      <name val="Calibri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20"/>
      <color rgb="FFFF0000"/>
      <name val="Calibri"/>
      <family val="2"/>
      <charset val="204"/>
    </font>
    <font>
      <b/>
      <sz val="2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sz val="36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b/>
      <sz val="48"/>
      <name val="Times New Roman"/>
      <family val="1"/>
      <charset val="204"/>
    </font>
    <font>
      <sz val="48"/>
      <color indexed="8"/>
      <name val="Times New Roman"/>
      <family val="1"/>
      <charset val="204"/>
    </font>
    <font>
      <sz val="36"/>
      <color theme="0"/>
      <name val="Times New Roman"/>
      <family val="1"/>
      <charset val="204"/>
    </font>
    <font>
      <b/>
      <sz val="4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7" fillId="0" borderId="0"/>
    <xf numFmtId="0" fontId="1" fillId="0" borderId="0"/>
    <xf numFmtId="0" fontId="6" fillId="0" borderId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center" vertical="center"/>
    </xf>
    <xf numFmtId="0" fontId="3" fillId="2" borderId="0" xfId="0" applyFont="1" applyFill="1"/>
    <xf numFmtId="0" fontId="3" fillId="3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3" fillId="3" borderId="0" xfId="0" applyFont="1" applyFill="1" applyBorder="1"/>
    <xf numFmtId="166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0" xfId="0" applyFill="1" applyBorder="1"/>
    <xf numFmtId="0" fontId="4" fillId="0" borderId="0" xfId="0" applyFont="1" applyBorder="1"/>
    <xf numFmtId="0" fontId="7" fillId="0" borderId="0" xfId="1"/>
    <xf numFmtId="0" fontId="10" fillId="0" borderId="0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0" fillId="0" borderId="0" xfId="0" applyNumberFormat="1"/>
    <xf numFmtId="0" fontId="0" fillId="3" borderId="0" xfId="0" applyFill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0" fontId="5" fillId="3" borderId="0" xfId="0" applyFont="1" applyFill="1" applyBorder="1"/>
    <xf numFmtId="0" fontId="5" fillId="3" borderId="0" xfId="0" applyFont="1" applyFill="1"/>
    <xf numFmtId="0" fontId="15" fillId="3" borderId="0" xfId="0" applyFont="1" applyFill="1" applyBorder="1"/>
    <xf numFmtId="0" fontId="15" fillId="3" borderId="0" xfId="0" applyFont="1" applyFill="1"/>
    <xf numFmtId="0" fontId="15" fillId="2" borderId="0" xfId="0" applyFont="1" applyFill="1"/>
    <xf numFmtId="0" fontId="12" fillId="3" borderId="0" xfId="0" applyFont="1" applyFill="1" applyBorder="1"/>
    <xf numFmtId="0" fontId="12" fillId="3" borderId="0" xfId="0" applyFont="1" applyFill="1"/>
    <xf numFmtId="0" fontId="16" fillId="0" borderId="0" xfId="0" applyNumberFormat="1" applyFont="1" applyBorder="1" applyAlignment="1">
      <alignment horizontal="center" vertical="center"/>
    </xf>
    <xf numFmtId="0" fontId="17" fillId="3" borderId="0" xfId="0" applyFont="1" applyFill="1" applyBorder="1"/>
    <xf numFmtId="0" fontId="17" fillId="3" borderId="0" xfId="0" applyFont="1" applyFill="1"/>
    <xf numFmtId="0" fontId="5" fillId="3" borderId="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3" fillId="0" borderId="0" xfId="0" applyFont="1" applyFill="1"/>
    <xf numFmtId="0" fontId="15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18" fillId="0" borderId="0" xfId="0" applyFont="1" applyBorder="1"/>
    <xf numFmtId="0" fontId="2" fillId="0" borderId="0" xfId="1" applyFont="1"/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justify" vertical="center" wrapText="1"/>
    </xf>
    <xf numFmtId="0" fontId="19" fillId="0" borderId="0" xfId="0" applyNumberFormat="1" applyFont="1" applyFill="1" applyBorder="1" applyAlignment="1" applyProtection="1">
      <alignment vertical="top"/>
    </xf>
    <xf numFmtId="0" fontId="20" fillId="0" borderId="0" xfId="0" applyFont="1"/>
    <xf numFmtId="0" fontId="3" fillId="0" borderId="0" xfId="0" applyNumberFormat="1" applyFont="1"/>
    <xf numFmtId="0" fontId="0" fillId="0" borderId="0" xfId="0" applyFill="1" applyBorder="1"/>
    <xf numFmtId="0" fontId="20" fillId="0" borderId="0" xfId="0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3" fillId="3" borderId="12" xfId="0" applyFont="1" applyFill="1" applyBorder="1"/>
    <xf numFmtId="0" fontId="3" fillId="0" borderId="12" xfId="0" applyFont="1" applyFill="1" applyBorder="1"/>
    <xf numFmtId="0" fontId="3" fillId="2" borderId="12" xfId="0" applyFont="1" applyFill="1" applyBorder="1"/>
    <xf numFmtId="0" fontId="0" fillId="0" borderId="1" xfId="0" applyBorder="1"/>
    <xf numFmtId="0" fontId="4" fillId="3" borderId="0" xfId="0" applyFont="1" applyFill="1" applyBorder="1" applyAlignment="1">
      <alignment horizontal="center"/>
    </xf>
    <xf numFmtId="166" fontId="14" fillId="3" borderId="0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4" fillId="3" borderId="15" xfId="0" applyFont="1" applyFill="1" applyBorder="1" applyAlignment="1">
      <alignment horizontal="center"/>
    </xf>
    <xf numFmtId="0" fontId="0" fillId="3" borderId="4" xfId="0" applyFill="1" applyBorder="1"/>
    <xf numFmtId="0" fontId="0" fillId="0" borderId="0" xfId="0" applyNumberFormat="1" applyFill="1"/>
    <xf numFmtId="0" fontId="16" fillId="0" borderId="0" xfId="0" applyNumberFormat="1" applyFont="1" applyFill="1"/>
    <xf numFmtId="0" fontId="17" fillId="0" borderId="0" xfId="0" applyNumberFormat="1" applyFont="1" applyFill="1"/>
    <xf numFmtId="166" fontId="13" fillId="0" borderId="15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Border="1"/>
    <xf numFmtId="0" fontId="23" fillId="0" borderId="0" xfId="0" applyFont="1" applyBorder="1"/>
    <xf numFmtId="166" fontId="17" fillId="0" borderId="0" xfId="0" applyNumberFormat="1" applyFont="1" applyFill="1"/>
    <xf numFmtId="166" fontId="31" fillId="0" borderId="0" xfId="0" applyNumberFormat="1" applyFont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left"/>
    </xf>
    <xf numFmtId="166" fontId="32" fillId="0" borderId="0" xfId="0" applyNumberFormat="1" applyFont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NumberFormat="1" applyFont="1" applyAlignment="1">
      <alignment horizontal="center" vertical="center"/>
    </xf>
    <xf numFmtId="166" fontId="12" fillId="0" borderId="0" xfId="0" applyNumberFormat="1" applyFont="1" applyFill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  <xf numFmtId="0" fontId="20" fillId="0" borderId="0" xfId="0" applyFont="1" applyFill="1"/>
    <xf numFmtId="0" fontId="32" fillId="0" borderId="0" xfId="0" applyFont="1" applyFill="1" applyBorder="1"/>
    <xf numFmtId="0" fontId="32" fillId="0" borderId="0" xfId="0" applyFont="1" applyBorder="1"/>
    <xf numFmtId="166" fontId="32" fillId="0" borderId="0" xfId="0" applyNumberFormat="1" applyFont="1" applyFill="1" applyAlignment="1">
      <alignment horizontal="center" vertical="center"/>
    </xf>
    <xf numFmtId="0" fontId="32" fillId="0" borderId="0" xfId="0" applyFont="1" applyFill="1"/>
    <xf numFmtId="0" fontId="12" fillId="0" borderId="0" xfId="0" applyFont="1" applyFill="1"/>
    <xf numFmtId="0" fontId="12" fillId="0" borderId="0" xfId="0" applyNumberFormat="1" applyFont="1" applyFill="1"/>
    <xf numFmtId="0" fontId="20" fillId="0" borderId="0" xfId="0" applyNumberFormat="1" applyFont="1" applyFill="1"/>
    <xf numFmtId="0" fontId="20" fillId="0" borderId="0" xfId="0" applyFont="1" applyFill="1" applyBorder="1"/>
    <xf numFmtId="0" fontId="5" fillId="0" borderId="0" xfId="0" applyNumberFormat="1" applyFont="1" applyFill="1" applyAlignment="1">
      <alignment horizontal="center" vertical="center"/>
    </xf>
    <xf numFmtId="166" fontId="12" fillId="0" borderId="0" xfId="0" applyNumberFormat="1" applyFont="1" applyFill="1"/>
    <xf numFmtId="0" fontId="32" fillId="0" borderId="0" xfId="0" applyNumberFormat="1" applyFont="1" applyFill="1"/>
    <xf numFmtId="166" fontId="13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/>
    </xf>
    <xf numFmtId="166" fontId="30" fillId="0" borderId="0" xfId="0" applyNumberFormat="1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/>
    </xf>
    <xf numFmtId="166" fontId="33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/>
    </xf>
    <xf numFmtId="0" fontId="37" fillId="0" borderId="0" xfId="0" applyFont="1" applyAlignment="1">
      <alignment horizontal="center" vertical="center"/>
    </xf>
    <xf numFmtId="0" fontId="29" fillId="3" borderId="0" xfId="0" applyFont="1" applyFill="1" applyBorder="1" applyAlignment="1">
      <alignment horizontal="center" vertical="center"/>
    </xf>
    <xf numFmtId="0" fontId="29" fillId="3" borderId="0" xfId="0" applyFont="1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28" fillId="3" borderId="3" xfId="0" applyNumberFormat="1" applyFont="1" applyFill="1" applyBorder="1" applyAlignment="1">
      <alignment horizontal="left" vertical="center" wrapText="1"/>
    </xf>
    <xf numFmtId="0" fontId="28" fillId="3" borderId="3" xfId="0" applyNumberFormat="1" applyFont="1" applyFill="1" applyBorder="1" applyAlignment="1">
      <alignment horizontal="left" vertical="top" wrapText="1"/>
    </xf>
    <xf numFmtId="0" fontId="28" fillId="3" borderId="3" xfId="0" applyNumberFormat="1" applyFont="1" applyFill="1" applyBorder="1" applyAlignment="1" applyProtection="1">
      <alignment horizontal="left" vertical="top" wrapText="1"/>
    </xf>
    <xf numFmtId="166" fontId="28" fillId="3" borderId="3" xfId="0" applyNumberFormat="1" applyFont="1" applyFill="1" applyBorder="1" applyAlignment="1">
      <alignment horizontal="center" vertical="center" wrapText="1"/>
    </xf>
    <xf numFmtId="166" fontId="29" fillId="3" borderId="3" xfId="0" applyNumberFormat="1" applyFont="1" applyFill="1" applyBorder="1" applyAlignment="1">
      <alignment horizontal="center" vertical="center" wrapText="1"/>
    </xf>
    <xf numFmtId="166" fontId="28" fillId="3" borderId="3" xfId="6" applyNumberFormat="1" applyFont="1" applyFill="1" applyBorder="1" applyAlignment="1">
      <alignment horizontal="center" vertical="center" wrapText="1"/>
    </xf>
    <xf numFmtId="169" fontId="28" fillId="3" borderId="3" xfId="0" applyNumberFormat="1" applyFont="1" applyFill="1" applyBorder="1" applyAlignment="1">
      <alignment horizontal="center" vertical="center" wrapText="1"/>
    </xf>
    <xf numFmtId="169" fontId="29" fillId="3" borderId="4" xfId="0" applyNumberFormat="1" applyFont="1" applyFill="1" applyBorder="1" applyAlignment="1">
      <alignment horizontal="center" vertical="center" wrapText="1"/>
    </xf>
    <xf numFmtId="169" fontId="29" fillId="3" borderId="3" xfId="0" applyNumberFormat="1" applyFont="1" applyFill="1" applyBorder="1" applyAlignment="1">
      <alignment horizontal="center" vertical="center" wrapText="1"/>
    </xf>
    <xf numFmtId="0" fontId="30" fillId="3" borderId="3" xfId="0" applyNumberFormat="1" applyFont="1" applyFill="1" applyBorder="1" applyAlignment="1">
      <alignment horizontal="left" vertical="center" wrapText="1"/>
    </xf>
    <xf numFmtId="0" fontId="28" fillId="3" borderId="1" xfId="0" applyNumberFormat="1" applyFont="1" applyFill="1" applyBorder="1" applyAlignment="1">
      <alignment horizontal="left" vertical="top" wrapText="1"/>
    </xf>
    <xf numFmtId="0" fontId="28" fillId="3" borderId="1" xfId="0" applyNumberFormat="1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vertical="center" wrapText="1"/>
    </xf>
    <xf numFmtId="166" fontId="29" fillId="3" borderId="12" xfId="0" applyNumberFormat="1" applyFont="1" applyFill="1" applyBorder="1" applyAlignment="1">
      <alignment horizontal="center" vertical="center" wrapText="1"/>
    </xf>
    <xf numFmtId="169" fontId="30" fillId="3" borderId="6" xfId="0" applyNumberFormat="1" applyFont="1" applyFill="1" applyBorder="1" applyAlignment="1">
      <alignment vertical="center" wrapText="1"/>
    </xf>
    <xf numFmtId="169" fontId="29" fillId="3" borderId="6" xfId="0" applyNumberFormat="1" applyFont="1" applyFill="1" applyBorder="1" applyAlignment="1">
      <alignment horizontal="center" vertical="center" wrapText="1"/>
    </xf>
    <xf numFmtId="169" fontId="29" fillId="3" borderId="13" xfId="0" applyNumberFormat="1" applyFont="1" applyFill="1" applyBorder="1" applyAlignment="1">
      <alignment horizontal="center" vertical="center" wrapText="1"/>
    </xf>
    <xf numFmtId="166" fontId="29" fillId="3" borderId="6" xfId="0" applyNumberFormat="1" applyFont="1" applyFill="1" applyBorder="1" applyAlignment="1">
      <alignment horizontal="center" vertical="center" wrapText="1"/>
    </xf>
    <xf numFmtId="169" fontId="29" fillId="3" borderId="2" xfId="0" applyNumberFormat="1" applyFont="1" applyFill="1" applyBorder="1" applyAlignment="1">
      <alignment horizontal="center" vertical="center" wrapText="1"/>
    </xf>
    <xf numFmtId="0" fontId="30" fillId="3" borderId="6" xfId="0" applyNumberFormat="1" applyFont="1" applyFill="1" applyBorder="1" applyAlignment="1">
      <alignment vertical="center" wrapText="1"/>
    </xf>
    <xf numFmtId="166" fontId="28" fillId="3" borderId="3" xfId="0" applyNumberFormat="1" applyFont="1" applyFill="1" applyBorder="1" applyAlignment="1">
      <alignment horizontal="left" vertical="center" wrapText="1"/>
    </xf>
    <xf numFmtId="169" fontId="29" fillId="3" borderId="12" xfId="0" applyNumberFormat="1" applyFont="1" applyFill="1" applyBorder="1" applyAlignment="1">
      <alignment horizontal="center" vertical="center" wrapText="1"/>
    </xf>
    <xf numFmtId="0" fontId="28" fillId="3" borderId="10" xfId="0" applyNumberFormat="1" applyFont="1" applyFill="1" applyBorder="1" applyAlignment="1">
      <alignment horizontal="left" vertical="top" wrapText="1"/>
    </xf>
    <xf numFmtId="0" fontId="28" fillId="3" borderId="10" xfId="0" applyNumberFormat="1" applyFont="1" applyFill="1" applyBorder="1" applyAlignment="1" applyProtection="1">
      <alignment horizontal="left" vertical="top" wrapText="1"/>
    </xf>
    <xf numFmtId="166" fontId="29" fillId="3" borderId="10" xfId="0" applyNumberFormat="1" applyFont="1" applyFill="1" applyBorder="1" applyAlignment="1">
      <alignment horizontal="center" vertical="center" wrapText="1"/>
    </xf>
    <xf numFmtId="166" fontId="28" fillId="3" borderId="10" xfId="0" applyNumberFormat="1" applyFont="1" applyFill="1" applyBorder="1" applyAlignment="1">
      <alignment horizontal="center" vertical="center" wrapText="1"/>
    </xf>
    <xf numFmtId="166" fontId="28" fillId="3" borderId="10" xfId="6" applyNumberFormat="1" applyFont="1" applyFill="1" applyBorder="1" applyAlignment="1">
      <alignment horizontal="center" vertical="center" wrapText="1"/>
    </xf>
    <xf numFmtId="169" fontId="28" fillId="3" borderId="1" xfId="0" applyNumberFormat="1" applyFont="1" applyFill="1" applyBorder="1" applyAlignment="1">
      <alignment horizontal="center" vertical="center" wrapText="1"/>
    </xf>
    <xf numFmtId="166" fontId="28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left"/>
    </xf>
    <xf numFmtId="166" fontId="24" fillId="3" borderId="1" xfId="0" applyNumberFormat="1" applyFont="1" applyFill="1" applyBorder="1" applyAlignment="1">
      <alignment horizontal="center" vertical="center" wrapText="1"/>
    </xf>
    <xf numFmtId="169" fontId="24" fillId="3" borderId="1" xfId="0" applyNumberFormat="1" applyFont="1" applyFill="1" applyBorder="1" applyAlignment="1">
      <alignment horizontal="center" vertical="center" wrapText="1"/>
    </xf>
    <xf numFmtId="2" fontId="28" fillId="3" borderId="3" xfId="0" applyNumberFormat="1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0" fontId="29" fillId="3" borderId="15" xfId="0" applyFont="1" applyFill="1" applyBorder="1" applyAlignment="1">
      <alignment horizontal="center" wrapText="1"/>
    </xf>
    <xf numFmtId="0" fontId="29" fillId="3" borderId="0" xfId="0" applyFont="1" applyFill="1" applyBorder="1" applyAlignment="1">
      <alignment horizontal="center" wrapText="1"/>
    </xf>
    <xf numFmtId="0" fontId="34" fillId="3" borderId="15" xfId="0" applyFont="1" applyFill="1" applyBorder="1" applyAlignment="1">
      <alignment horizontal="center" wrapText="1"/>
    </xf>
    <xf numFmtId="0" fontId="34" fillId="3" borderId="0" xfId="0" applyFont="1" applyFill="1" applyBorder="1" applyAlignment="1">
      <alignment horizontal="center" wrapText="1"/>
    </xf>
    <xf numFmtId="0" fontId="29" fillId="3" borderId="15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 wrapText="1"/>
    </xf>
    <xf numFmtId="0" fontId="36" fillId="3" borderId="15" xfId="0" applyFont="1" applyFill="1" applyBorder="1" applyAlignment="1">
      <alignment horizontal="center" wrapText="1"/>
    </xf>
    <xf numFmtId="0" fontId="36" fillId="3" borderId="0" xfId="0" applyFont="1" applyFill="1" applyBorder="1" applyAlignment="1">
      <alignment horizont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20" fillId="0" borderId="0" xfId="0" applyFont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center" wrapText="1"/>
    </xf>
    <xf numFmtId="0" fontId="30" fillId="3" borderId="5" xfId="0" applyNumberFormat="1" applyFont="1" applyFill="1" applyBorder="1" applyAlignment="1">
      <alignment horizontal="center" vertical="center" wrapText="1"/>
    </xf>
    <xf numFmtId="0" fontId="30" fillId="3" borderId="6" xfId="0" applyNumberFormat="1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left" vertical="center" wrapText="1"/>
    </xf>
    <xf numFmtId="0" fontId="30" fillId="3" borderId="6" xfId="0" applyFont="1" applyFill="1" applyBorder="1" applyAlignment="1">
      <alignment horizontal="left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8" fillId="0" borderId="0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27" fillId="3" borderId="1" xfId="0" applyNumberFormat="1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66" fontId="24" fillId="3" borderId="1" xfId="0" applyNumberFormat="1" applyFont="1" applyFill="1" applyBorder="1" applyAlignment="1">
      <alignment horizontal="center" vertical="center" wrapText="1"/>
    </xf>
    <xf numFmtId="166" fontId="25" fillId="3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166" fontId="33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7" fillId="0" borderId="0" xfId="0" applyFont="1" applyAlignment="1">
      <alignment wrapText="1"/>
    </xf>
    <xf numFmtId="0" fontId="0" fillId="0" borderId="2" xfId="0" applyFill="1" applyBorder="1"/>
    <xf numFmtId="0" fontId="0" fillId="0" borderId="1" xfId="0" applyFill="1" applyBorder="1"/>
    <xf numFmtId="0" fontId="17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</cellXfs>
  <cellStyles count="10">
    <cellStyle name="Денежный 2" xfId="8" xr:uid="{00000000-0005-0000-0000-000000000000}"/>
    <cellStyle name="Обычный" xfId="0" builtinId="0"/>
    <cellStyle name="Обычный 2" xfId="1" xr:uid="{00000000-0005-0000-0000-000002000000}"/>
    <cellStyle name="Обычный 2 2" xfId="7" xr:uid="{00000000-0005-0000-0000-000003000000}"/>
    <cellStyle name="Обычный 4" xfId="2" xr:uid="{00000000-0005-0000-0000-000004000000}"/>
    <cellStyle name="Процентный 3" xfId="9" xr:uid="{00000000-0005-0000-0000-000005000000}"/>
    <cellStyle name="Стиль 1" xfId="3" xr:uid="{00000000-0005-0000-0000-000006000000}"/>
    <cellStyle name="Финансовый 2" xfId="4" xr:uid="{00000000-0005-0000-0000-000007000000}"/>
    <cellStyle name="Финансовый 3" xfId="5" xr:uid="{00000000-0005-0000-0000-000008000000}"/>
    <cellStyle name="Финансовый_Удмуртия Приложение № 1к договору уборки" xfId="6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O196"/>
  <sheetViews>
    <sheetView showGridLines="0" tabSelected="1" view="pageBreakPreview" topLeftCell="A6" zoomScale="30" zoomScaleNormal="23" zoomScaleSheetLayoutView="30" workbookViewId="0">
      <pane ySplit="5" topLeftCell="A11" activePane="bottomLeft" state="frozen"/>
      <selection activeCell="A6" sqref="A6"/>
      <selection pane="bottomLeft" activeCell="CJ6" sqref="CJ1:CO1048576"/>
    </sheetView>
  </sheetViews>
  <sheetFormatPr defaultRowHeight="15" outlineLevelRow="1" outlineLevelCol="2" x14ac:dyDescent="0.25"/>
  <cols>
    <col min="1" max="1" width="16.7109375" customWidth="1"/>
    <col min="2" max="2" width="43.5703125" customWidth="1"/>
    <col min="3" max="3" width="45.85546875" customWidth="1"/>
    <col min="4" max="4" width="25.28515625" style="2" customWidth="1"/>
    <col min="5" max="5" width="30.85546875" style="3" customWidth="1"/>
    <col min="6" max="6" width="16.140625" style="6" customWidth="1" outlineLevel="1"/>
    <col min="7" max="7" width="21.85546875" style="1" customWidth="1" outlineLevel="2"/>
    <col min="8" max="8" width="21.5703125" style="1" customWidth="1" outlineLevel="2"/>
    <col min="9" max="9" width="20.5703125" style="1" customWidth="1" outlineLevel="2"/>
    <col min="10" max="10" width="29.28515625" style="6" customWidth="1" outlineLevel="1"/>
    <col min="11" max="11" width="21.42578125" style="1" customWidth="1" outlineLevel="2"/>
    <col min="12" max="12" width="24" style="1" customWidth="1" outlineLevel="2"/>
    <col min="13" max="13" width="34.42578125" style="1" customWidth="1" outlineLevel="2"/>
    <col min="14" max="14" width="31.140625" style="6" customWidth="1" outlineLevel="1"/>
    <col min="15" max="15" width="17" style="1" customWidth="1" outlineLevel="2"/>
    <col min="16" max="16" width="14.85546875" style="1" customWidth="1" outlineLevel="2"/>
    <col min="17" max="17" width="38.28515625" style="1" customWidth="1" outlineLevel="2"/>
    <col min="18" max="18" width="23.140625" style="6" customWidth="1" outlineLevel="1"/>
    <col min="19" max="19" width="21.42578125" style="1" customWidth="1" outlineLevel="2"/>
    <col min="20" max="20" width="23.42578125" style="1" customWidth="1" outlineLevel="2"/>
    <col min="21" max="21" width="28.42578125" style="1" customWidth="1" outlineLevel="2"/>
    <col min="22" max="22" width="29.42578125" style="6" customWidth="1" outlineLevel="1"/>
    <col min="23" max="23" width="19.42578125" style="1" customWidth="1" outlineLevel="2"/>
    <col min="24" max="24" width="18.5703125" style="1" customWidth="1" outlineLevel="2"/>
    <col min="25" max="25" width="26.7109375" style="1" customWidth="1" outlineLevel="2"/>
    <col min="26" max="26" width="28.5703125" style="6" customWidth="1" outlineLevel="1"/>
    <col min="27" max="28" width="18" style="1" customWidth="1" outlineLevel="2"/>
    <col min="29" max="29" width="35.85546875" style="1" customWidth="1" outlineLevel="2"/>
    <col min="30" max="30" width="22" style="6" customWidth="1" outlineLevel="1"/>
    <col min="31" max="31" width="22.85546875" style="1" customWidth="1" outlineLevel="2"/>
    <col min="32" max="32" width="24.140625" style="1" customWidth="1" outlineLevel="2"/>
    <col min="33" max="33" width="27.7109375" style="1" customWidth="1" outlineLevel="2"/>
    <col min="34" max="34" width="29.42578125" style="6" customWidth="1" outlineLevel="1"/>
    <col min="35" max="35" width="21.5703125" style="1" customWidth="1" outlineLevel="2"/>
    <col min="36" max="36" width="21.7109375" style="1" customWidth="1" outlineLevel="2"/>
    <col min="37" max="37" width="39.42578125" style="1" customWidth="1" outlineLevel="2"/>
    <col min="38" max="38" width="25.5703125" style="6" customWidth="1" outlineLevel="1"/>
    <col min="39" max="39" width="21.5703125" style="1" customWidth="1" outlineLevel="2"/>
    <col min="40" max="40" width="20.85546875" style="1" customWidth="1" outlineLevel="2"/>
    <col min="41" max="41" width="27.140625" style="1" customWidth="1" outlineLevel="2"/>
    <col min="42" max="42" width="37" style="1" customWidth="1" outlineLevel="1"/>
    <col min="43" max="43" width="35.42578125" style="1" customWidth="1" outlineLevel="1"/>
    <col min="44" max="44" width="33" style="7" customWidth="1"/>
    <col min="45" max="45" width="33.5703125" customWidth="1"/>
    <col min="46" max="46" width="19.7109375" style="7" customWidth="1"/>
    <col min="47" max="47" width="24.140625" style="7" customWidth="1"/>
    <col min="48" max="48" width="21.85546875" style="7" customWidth="1"/>
    <col min="49" max="49" width="34.140625" style="7" customWidth="1"/>
    <col min="50" max="50" width="36.140625" style="7" customWidth="1"/>
    <col min="51" max="51" width="38.140625" customWidth="1"/>
    <col min="52" max="52" width="38.28515625" style="20" customWidth="1"/>
    <col min="53" max="53" width="78" customWidth="1"/>
    <col min="54" max="54" width="9.140625" style="8" customWidth="1"/>
    <col min="55" max="58" width="9.140625" style="8"/>
    <col min="88" max="93" width="9.140625" style="7"/>
  </cols>
  <sheetData>
    <row r="1" spans="1:93" ht="144.75" hidden="1" customHeight="1" x14ac:dyDescent="0.35">
      <c r="A1" s="183"/>
      <c r="B1" s="184"/>
      <c r="C1" s="184"/>
      <c r="D1" s="15"/>
      <c r="E1" s="10"/>
      <c r="F1" s="11"/>
      <c r="G1" s="12"/>
      <c r="H1" s="12"/>
      <c r="I1" s="12"/>
      <c r="J1" s="11"/>
      <c r="K1" s="12"/>
      <c r="L1" s="12"/>
      <c r="M1" s="12"/>
      <c r="N1" s="11"/>
      <c r="O1" s="12"/>
      <c r="P1" s="12"/>
      <c r="Q1" s="12"/>
      <c r="R1" s="11"/>
      <c r="S1" s="12"/>
      <c r="T1" s="12"/>
      <c r="U1" s="12"/>
      <c r="V1" s="11"/>
      <c r="W1" s="12"/>
      <c r="X1" s="12"/>
      <c r="Y1" s="12"/>
      <c r="Z1" s="11"/>
      <c r="AA1" s="12"/>
      <c r="AB1" s="12"/>
      <c r="AC1" s="12"/>
      <c r="AD1" s="11"/>
      <c r="AE1" s="12"/>
      <c r="AF1" s="12"/>
      <c r="AG1" s="12"/>
      <c r="AH1" s="11"/>
      <c r="AI1" s="12"/>
      <c r="AJ1" s="12"/>
      <c r="AK1" s="12"/>
      <c r="AL1" s="11"/>
      <c r="AM1" s="12"/>
      <c r="AN1" s="12"/>
      <c r="AO1" s="12"/>
      <c r="AP1" s="12"/>
      <c r="AQ1" s="12"/>
      <c r="AT1" s="14"/>
      <c r="AU1" s="14"/>
      <c r="AV1" s="14"/>
      <c r="AW1" s="181" t="s">
        <v>232</v>
      </c>
      <c r="AX1" s="181"/>
      <c r="AY1" s="181"/>
      <c r="AZ1" s="14"/>
      <c r="BA1" s="14"/>
    </row>
    <row r="2" spans="1:93" ht="28.5" hidden="1" customHeight="1" x14ac:dyDescent="0.3">
      <c r="A2" s="8"/>
      <c r="B2" s="68"/>
      <c r="C2" s="49"/>
      <c r="D2" s="15"/>
      <c r="E2" s="10"/>
      <c r="F2" s="11"/>
      <c r="G2" s="12"/>
      <c r="H2" s="12"/>
      <c r="I2" s="12"/>
      <c r="J2" s="11"/>
      <c r="K2" s="12"/>
      <c r="L2" s="12"/>
      <c r="M2" s="12"/>
      <c r="N2" s="22"/>
      <c r="O2" s="12"/>
      <c r="P2" s="30"/>
      <c r="Q2" s="12"/>
      <c r="R2" s="11"/>
      <c r="S2" s="12"/>
      <c r="T2" s="12"/>
      <c r="U2" s="12"/>
      <c r="V2" s="11"/>
      <c r="W2" s="12"/>
      <c r="X2" s="59"/>
      <c r="Y2" s="12"/>
      <c r="Z2" s="11"/>
      <c r="AA2" s="12"/>
      <c r="AB2" s="12"/>
      <c r="AC2" s="12"/>
      <c r="AD2" s="11"/>
      <c r="AE2" s="12"/>
      <c r="AF2" s="12"/>
      <c r="AG2" s="12"/>
      <c r="AH2" s="11"/>
      <c r="AI2" s="12"/>
      <c r="AJ2" s="30"/>
      <c r="AK2" s="12"/>
      <c r="AL2" s="11"/>
      <c r="AM2" s="12"/>
      <c r="AN2" s="12"/>
      <c r="AO2" s="12"/>
      <c r="AP2" s="12"/>
      <c r="AQ2" s="12"/>
      <c r="AT2" s="14"/>
      <c r="AU2" s="14"/>
      <c r="AV2" s="14"/>
      <c r="AW2" s="181"/>
      <c r="AX2" s="181"/>
      <c r="AY2" s="181"/>
      <c r="AZ2" s="14"/>
      <c r="BA2" s="14"/>
    </row>
    <row r="3" spans="1:93" ht="26.25" hidden="1" x14ac:dyDescent="0.4">
      <c r="A3" s="8"/>
      <c r="B3" s="69"/>
      <c r="C3" s="8"/>
      <c r="D3" s="15"/>
      <c r="E3" s="10"/>
      <c r="F3" s="11"/>
      <c r="G3" s="12"/>
      <c r="H3" s="12"/>
      <c r="I3" s="12"/>
      <c r="J3" s="11"/>
      <c r="K3" s="12"/>
      <c r="L3" s="12"/>
      <c r="M3" s="12"/>
      <c r="N3" s="11"/>
      <c r="O3" s="12"/>
      <c r="P3" s="12"/>
      <c r="Q3" s="12"/>
      <c r="R3" s="11"/>
      <c r="S3" s="12"/>
      <c r="T3" s="12"/>
      <c r="U3" s="12"/>
      <c r="V3" s="11"/>
      <c r="W3" s="12"/>
      <c r="X3" s="12"/>
      <c r="Y3" s="12"/>
      <c r="Z3" s="11"/>
      <c r="AA3" s="30"/>
      <c r="AB3" s="30"/>
      <c r="AC3" s="12"/>
      <c r="AD3" s="11"/>
      <c r="AE3" s="12"/>
      <c r="AF3" s="12"/>
      <c r="AG3" s="12"/>
      <c r="AH3" s="11"/>
      <c r="AI3" s="12"/>
      <c r="AJ3" s="12"/>
      <c r="AK3" s="12"/>
      <c r="AL3" s="11"/>
      <c r="AM3" s="12"/>
      <c r="AN3" s="12"/>
      <c r="AO3" s="12"/>
      <c r="AP3" s="12"/>
      <c r="AQ3" s="12"/>
      <c r="AT3" s="14"/>
      <c r="AU3" s="14"/>
      <c r="AV3" s="14"/>
      <c r="AW3" s="14"/>
      <c r="AX3" s="14"/>
      <c r="AY3" s="14"/>
      <c r="BA3" s="8"/>
    </row>
    <row r="4" spans="1:93" ht="21.75" hidden="1" customHeight="1" x14ac:dyDescent="0.25">
      <c r="A4" s="39"/>
      <c r="B4" s="40"/>
      <c r="C4" s="39"/>
      <c r="D4" s="41"/>
      <c r="E4" s="42"/>
      <c r="F4" s="38"/>
      <c r="G4" s="43"/>
      <c r="H4" s="43"/>
      <c r="I4" s="43"/>
      <c r="J4" s="38"/>
      <c r="K4" s="43"/>
      <c r="L4" s="43"/>
      <c r="M4" s="43"/>
      <c r="N4" s="38"/>
      <c r="O4" s="43"/>
      <c r="P4" s="43"/>
      <c r="Q4" s="43"/>
      <c r="R4" s="38"/>
      <c r="S4" s="43"/>
      <c r="T4" s="43"/>
      <c r="U4" s="43"/>
      <c r="V4" s="38"/>
      <c r="W4" s="43"/>
      <c r="X4" s="43"/>
      <c r="Y4" s="43"/>
      <c r="Z4" s="38"/>
      <c r="AA4" s="43"/>
      <c r="AB4" s="43"/>
      <c r="AC4" s="43"/>
      <c r="AD4" s="38"/>
      <c r="AE4" s="43"/>
      <c r="AF4" s="43"/>
      <c r="AG4" s="43"/>
      <c r="AH4" s="38"/>
      <c r="AI4" s="43"/>
      <c r="AJ4" s="43"/>
      <c r="AK4" s="43"/>
      <c r="AL4" s="38"/>
      <c r="AM4" s="43"/>
      <c r="AN4" s="43"/>
      <c r="AO4" s="43"/>
      <c r="AP4" s="43"/>
      <c r="AQ4" s="43"/>
      <c r="AR4" s="35"/>
      <c r="AS4" s="44"/>
      <c r="AT4" s="14"/>
      <c r="AU4" s="14"/>
      <c r="AV4" s="14"/>
      <c r="AW4" s="14"/>
      <c r="AX4" s="14"/>
      <c r="AY4" s="14"/>
      <c r="AZ4" s="48"/>
      <c r="BA4" s="8"/>
    </row>
    <row r="5" spans="1:93" ht="21.75" hidden="1" customHeight="1" x14ac:dyDescent="0.25">
      <c r="A5" s="172" t="s">
        <v>45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8"/>
    </row>
    <row r="6" spans="1:93" ht="91.5" customHeight="1" x14ac:dyDescent="0.25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8"/>
    </row>
    <row r="7" spans="1:93" ht="135.75" customHeight="1" x14ac:dyDescent="0.25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73"/>
      <c r="BA7" s="8"/>
    </row>
    <row r="8" spans="1:93" ht="34.5" x14ac:dyDescent="0.25">
      <c r="A8" s="156" t="s">
        <v>4</v>
      </c>
      <c r="B8" s="156" t="s">
        <v>6</v>
      </c>
      <c r="C8" s="156"/>
      <c r="D8" s="154"/>
      <c r="E8" s="156" t="s">
        <v>0</v>
      </c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04"/>
      <c r="AP8" s="156" t="s">
        <v>30</v>
      </c>
      <c r="AQ8" s="156" t="s">
        <v>31</v>
      </c>
      <c r="AR8" s="156" t="s">
        <v>1</v>
      </c>
      <c r="AS8" s="154"/>
      <c r="AT8" s="154"/>
      <c r="AU8" s="156" t="s">
        <v>26</v>
      </c>
      <c r="AV8" s="156" t="s">
        <v>27</v>
      </c>
      <c r="AW8" s="156" t="s">
        <v>28</v>
      </c>
      <c r="AX8" s="156" t="s">
        <v>29</v>
      </c>
      <c r="AY8" s="156" t="s">
        <v>25</v>
      </c>
      <c r="AZ8" s="174" t="s">
        <v>24</v>
      </c>
      <c r="BA8" s="13"/>
      <c r="BB8" s="13"/>
      <c r="BC8" s="13"/>
      <c r="BD8" s="13"/>
    </row>
    <row r="9" spans="1:93" ht="35.25" thickBot="1" x14ac:dyDescent="0.3">
      <c r="A9" s="156"/>
      <c r="B9" s="156" t="s">
        <v>5</v>
      </c>
      <c r="C9" s="176" t="s">
        <v>207</v>
      </c>
      <c r="D9" s="154" t="s">
        <v>209</v>
      </c>
      <c r="E9" s="179" t="s">
        <v>2</v>
      </c>
      <c r="F9" s="166" t="s">
        <v>3</v>
      </c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8"/>
      <c r="AP9" s="178"/>
      <c r="AQ9" s="178"/>
      <c r="AR9" s="156" t="s">
        <v>43</v>
      </c>
      <c r="AS9" s="156" t="s">
        <v>15</v>
      </c>
      <c r="AT9" s="156" t="s">
        <v>44</v>
      </c>
      <c r="AU9" s="156"/>
      <c r="AV9" s="156"/>
      <c r="AW9" s="165"/>
      <c r="AX9" s="165"/>
      <c r="AY9" s="165"/>
      <c r="AZ9" s="175"/>
      <c r="BA9" s="13"/>
      <c r="BB9" s="13"/>
      <c r="BC9" s="13"/>
      <c r="BD9" s="13"/>
    </row>
    <row r="10" spans="1:93" ht="379.5" x14ac:dyDescent="0.25">
      <c r="A10" s="156"/>
      <c r="B10" s="154"/>
      <c r="C10" s="177"/>
      <c r="D10" s="155"/>
      <c r="E10" s="180"/>
      <c r="F10" s="105" t="s">
        <v>208</v>
      </c>
      <c r="G10" s="105" t="s">
        <v>26</v>
      </c>
      <c r="H10" s="105" t="s">
        <v>27</v>
      </c>
      <c r="I10" s="105" t="s">
        <v>32</v>
      </c>
      <c r="J10" s="105" t="s">
        <v>7</v>
      </c>
      <c r="K10" s="105" t="s">
        <v>26</v>
      </c>
      <c r="L10" s="105" t="s">
        <v>27</v>
      </c>
      <c r="M10" s="105" t="s">
        <v>32</v>
      </c>
      <c r="N10" s="105" t="s">
        <v>8</v>
      </c>
      <c r="O10" s="105" t="s">
        <v>26</v>
      </c>
      <c r="P10" s="105" t="s">
        <v>27</v>
      </c>
      <c r="Q10" s="105" t="s">
        <v>32</v>
      </c>
      <c r="R10" s="105" t="s">
        <v>9</v>
      </c>
      <c r="S10" s="105" t="s">
        <v>26</v>
      </c>
      <c r="T10" s="105" t="s">
        <v>27</v>
      </c>
      <c r="U10" s="105" t="s">
        <v>32</v>
      </c>
      <c r="V10" s="105" t="s">
        <v>10</v>
      </c>
      <c r="W10" s="105" t="s">
        <v>26</v>
      </c>
      <c r="X10" s="105" t="s">
        <v>27</v>
      </c>
      <c r="Y10" s="105" t="s">
        <v>32</v>
      </c>
      <c r="Z10" s="105" t="s">
        <v>11</v>
      </c>
      <c r="AA10" s="105" t="s">
        <v>26</v>
      </c>
      <c r="AB10" s="105" t="s">
        <v>27</v>
      </c>
      <c r="AC10" s="105" t="s">
        <v>32</v>
      </c>
      <c r="AD10" s="105" t="s">
        <v>12</v>
      </c>
      <c r="AE10" s="105" t="s">
        <v>26</v>
      </c>
      <c r="AF10" s="105" t="s">
        <v>27</v>
      </c>
      <c r="AG10" s="105" t="s">
        <v>32</v>
      </c>
      <c r="AH10" s="105" t="s">
        <v>13</v>
      </c>
      <c r="AI10" s="105" t="s">
        <v>26</v>
      </c>
      <c r="AJ10" s="105" t="s">
        <v>27</v>
      </c>
      <c r="AK10" s="105" t="s">
        <v>32</v>
      </c>
      <c r="AL10" s="105" t="s">
        <v>14</v>
      </c>
      <c r="AM10" s="105" t="s">
        <v>23</v>
      </c>
      <c r="AN10" s="105" t="s">
        <v>22</v>
      </c>
      <c r="AO10" s="106" t="s">
        <v>32</v>
      </c>
      <c r="AP10" s="178"/>
      <c r="AQ10" s="178"/>
      <c r="AR10" s="154"/>
      <c r="AS10" s="154"/>
      <c r="AT10" s="154"/>
      <c r="AU10" s="156"/>
      <c r="AV10" s="156"/>
      <c r="AW10" s="165"/>
      <c r="AX10" s="165"/>
      <c r="AY10" s="165"/>
      <c r="AZ10" s="175"/>
      <c r="BA10" s="13"/>
      <c r="BB10" s="13"/>
      <c r="BC10" s="13"/>
      <c r="BD10" s="13"/>
      <c r="CA10" s="8"/>
      <c r="CB10" s="8"/>
      <c r="CC10" s="8"/>
      <c r="CD10" s="8"/>
      <c r="CE10" s="8"/>
      <c r="CF10" s="8"/>
      <c r="CG10" s="8"/>
      <c r="CH10" s="8"/>
      <c r="CI10" s="8"/>
    </row>
    <row r="11" spans="1:93" s="55" customFormat="1" ht="103.5" x14ac:dyDescent="0.25">
      <c r="A11" s="104">
        <v>1</v>
      </c>
      <c r="B11" s="107">
        <v>2</v>
      </c>
      <c r="C11" s="107">
        <v>3</v>
      </c>
      <c r="D11" s="104">
        <v>4</v>
      </c>
      <c r="E11" s="107">
        <v>5</v>
      </c>
      <c r="F11" s="104">
        <v>6</v>
      </c>
      <c r="G11" s="107">
        <v>7</v>
      </c>
      <c r="H11" s="104">
        <v>8</v>
      </c>
      <c r="I11" s="107" t="s">
        <v>33</v>
      </c>
      <c r="J11" s="104">
        <v>10</v>
      </c>
      <c r="K11" s="107">
        <v>11</v>
      </c>
      <c r="L11" s="104">
        <v>12</v>
      </c>
      <c r="M11" s="107" t="s">
        <v>34</v>
      </c>
      <c r="N11" s="104">
        <v>14</v>
      </c>
      <c r="O11" s="107">
        <v>15</v>
      </c>
      <c r="P11" s="104">
        <v>16</v>
      </c>
      <c r="Q11" s="107" t="s">
        <v>35</v>
      </c>
      <c r="R11" s="104">
        <v>18</v>
      </c>
      <c r="S11" s="107">
        <v>19</v>
      </c>
      <c r="T11" s="104">
        <v>20</v>
      </c>
      <c r="U11" s="107" t="s">
        <v>36</v>
      </c>
      <c r="V11" s="104">
        <v>22</v>
      </c>
      <c r="W11" s="107">
        <v>23</v>
      </c>
      <c r="X11" s="104">
        <v>24</v>
      </c>
      <c r="Y11" s="107" t="s">
        <v>37</v>
      </c>
      <c r="Z11" s="104">
        <v>26</v>
      </c>
      <c r="AA11" s="107">
        <v>27</v>
      </c>
      <c r="AB11" s="104">
        <v>28</v>
      </c>
      <c r="AC11" s="107" t="s">
        <v>38</v>
      </c>
      <c r="AD11" s="104">
        <v>30</v>
      </c>
      <c r="AE11" s="107">
        <v>31</v>
      </c>
      <c r="AF11" s="104">
        <v>32</v>
      </c>
      <c r="AG11" s="107" t="s">
        <v>39</v>
      </c>
      <c r="AH11" s="104">
        <v>34</v>
      </c>
      <c r="AI11" s="107">
        <v>35</v>
      </c>
      <c r="AJ11" s="104">
        <v>36</v>
      </c>
      <c r="AK11" s="107" t="s">
        <v>40</v>
      </c>
      <c r="AL11" s="104">
        <v>38</v>
      </c>
      <c r="AM11" s="107">
        <v>39</v>
      </c>
      <c r="AN11" s="104">
        <v>40</v>
      </c>
      <c r="AO11" s="107" t="s">
        <v>41</v>
      </c>
      <c r="AP11" s="104">
        <v>42</v>
      </c>
      <c r="AQ11" s="107" t="s">
        <v>42</v>
      </c>
      <c r="AR11" s="104">
        <v>44</v>
      </c>
      <c r="AS11" s="107">
        <v>45</v>
      </c>
      <c r="AT11" s="104">
        <v>46</v>
      </c>
      <c r="AU11" s="107">
        <v>47</v>
      </c>
      <c r="AV11" s="104">
        <v>48</v>
      </c>
      <c r="AW11" s="107" t="s">
        <v>205</v>
      </c>
      <c r="AX11" s="104" t="s">
        <v>202</v>
      </c>
      <c r="AY11" s="107" t="s">
        <v>203</v>
      </c>
      <c r="AZ11" s="108" t="s">
        <v>204</v>
      </c>
      <c r="BA11" s="63"/>
      <c r="BB11" s="13"/>
      <c r="BC11" s="13"/>
      <c r="BD11" s="13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185"/>
      <c r="CK11" s="186"/>
      <c r="CL11" s="186"/>
      <c r="CM11" s="186"/>
      <c r="CN11" s="186"/>
      <c r="CO11" s="186"/>
    </row>
    <row r="12" spans="1:93" s="32" customFormat="1" ht="66" customHeight="1" x14ac:dyDescent="0.35">
      <c r="A12" s="160" t="s">
        <v>52</v>
      </c>
      <c r="B12" s="161"/>
      <c r="C12" s="161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10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D12" s="31"/>
      <c r="CE12" s="31"/>
      <c r="CF12" s="31"/>
      <c r="CG12" s="31"/>
      <c r="CH12" s="31"/>
      <c r="CI12" s="31"/>
      <c r="CJ12" s="187"/>
      <c r="CK12" s="187"/>
      <c r="CL12" s="187"/>
      <c r="CM12" s="187"/>
      <c r="CN12" s="187"/>
      <c r="CO12" s="187"/>
    </row>
    <row r="13" spans="1:93" s="4" customFormat="1" ht="274.5" outlineLevel="1" x14ac:dyDescent="0.25">
      <c r="A13" s="111">
        <v>1</v>
      </c>
      <c r="B13" s="112" t="s">
        <v>16</v>
      </c>
      <c r="C13" s="113" t="s">
        <v>69</v>
      </c>
      <c r="D13" s="114" t="s">
        <v>19</v>
      </c>
      <c r="E13" s="115">
        <f t="shared" ref="E13:E68" si="0">F13+J13+N13+R13+V13+Z13+AD13+AH13+AL13</f>
        <v>1374.3000000000002</v>
      </c>
      <c r="F13" s="116">
        <v>0</v>
      </c>
      <c r="G13" s="116">
        <f t="shared" ref="G13:G67" si="1">H13/1.2</f>
        <v>16.666666666666668</v>
      </c>
      <c r="H13" s="116">
        <v>20</v>
      </c>
      <c r="I13" s="116">
        <f t="shared" ref="I13:I62" si="2">H13*F13</f>
        <v>0</v>
      </c>
      <c r="J13" s="115">
        <v>241.2</v>
      </c>
      <c r="K13" s="116">
        <f t="shared" ref="K13:K67" si="3">L13/1.2</f>
        <v>12.916666666666668</v>
      </c>
      <c r="L13" s="116">
        <v>15.5</v>
      </c>
      <c r="M13" s="116">
        <f t="shared" ref="M13:M62" si="4">L13*J13</f>
        <v>3738.6</v>
      </c>
      <c r="N13" s="117">
        <v>306</v>
      </c>
      <c r="O13" s="116">
        <f t="shared" ref="O13:O67" si="5">P13/1.2</f>
        <v>4.666666666666667</v>
      </c>
      <c r="P13" s="116">
        <v>5.6</v>
      </c>
      <c r="Q13" s="116">
        <f t="shared" ref="Q13:Q62" si="6">P13*N13</f>
        <v>1713.6</v>
      </c>
      <c r="R13" s="115">
        <v>0</v>
      </c>
      <c r="S13" s="116">
        <f>T13/1.2</f>
        <v>15.583333333333334</v>
      </c>
      <c r="T13" s="116">
        <v>18.7</v>
      </c>
      <c r="U13" s="116">
        <f t="shared" ref="U13:U62" si="7">T13*R13</f>
        <v>0</v>
      </c>
      <c r="V13" s="116">
        <v>32.4</v>
      </c>
      <c r="W13" s="116">
        <f t="shared" ref="W13:W67" si="8">X13/1.2</f>
        <v>6.416666666666667</v>
      </c>
      <c r="X13" s="116">
        <v>7.7</v>
      </c>
      <c r="Y13" s="116">
        <f t="shared" ref="Y13:Y62" si="9">X13*V13</f>
        <v>249.48</v>
      </c>
      <c r="Z13" s="115">
        <v>216.4</v>
      </c>
      <c r="AA13" s="116">
        <f t="shared" ref="AA13:AA67" si="10">AB13/1.2</f>
        <v>6</v>
      </c>
      <c r="AB13" s="116">
        <v>7.2</v>
      </c>
      <c r="AC13" s="116">
        <f t="shared" ref="AC13:AC62" si="11">AB13*Z13</f>
        <v>1558.0800000000002</v>
      </c>
      <c r="AD13" s="116">
        <v>0</v>
      </c>
      <c r="AE13" s="116">
        <f t="shared" ref="AE13:AE67" si="12">AF13/1.2</f>
        <v>4.666666666666667</v>
      </c>
      <c r="AF13" s="116">
        <v>5.6</v>
      </c>
      <c r="AG13" s="116">
        <f t="shared" ref="AG13:AG62" si="13">AF13*AD13</f>
        <v>0</v>
      </c>
      <c r="AH13" s="117">
        <v>530.9</v>
      </c>
      <c r="AI13" s="116">
        <f t="shared" ref="AI13:AI67" si="14">AJ13/1.2</f>
        <v>8.3333333333333339</v>
      </c>
      <c r="AJ13" s="116">
        <v>10</v>
      </c>
      <c r="AK13" s="116">
        <f t="shared" ref="AK13:AK62" si="15">AJ13*AH13</f>
        <v>5309</v>
      </c>
      <c r="AL13" s="117">
        <v>47.4</v>
      </c>
      <c r="AM13" s="116">
        <f t="shared" ref="AM13:AM68" si="16">AN13/1.2</f>
        <v>12.750000000000002</v>
      </c>
      <c r="AN13" s="116">
        <v>15.3</v>
      </c>
      <c r="AO13" s="116">
        <f t="shared" ref="AO13:AO62" si="17">AN13*AL13</f>
        <v>725.22</v>
      </c>
      <c r="AP13" s="116">
        <f t="shared" ref="AP13:AP67" si="18">AQ13/1.2</f>
        <v>11078.316666666666</v>
      </c>
      <c r="AQ13" s="116">
        <f t="shared" ref="AQ13:AQ63" si="19">I13+M13+Q13+U13+Y13+AC13+AG13+AK13+AO13</f>
        <v>13293.979999999998</v>
      </c>
      <c r="AR13" s="117">
        <v>1801</v>
      </c>
      <c r="AS13" s="116" t="s">
        <v>210</v>
      </c>
      <c r="AT13" s="118">
        <v>0</v>
      </c>
      <c r="AU13" s="118">
        <f t="shared" ref="AU13:AU67" si="20">AV13/1.2</f>
        <v>6.1000000000000005</v>
      </c>
      <c r="AV13" s="144">
        <v>7.32</v>
      </c>
      <c r="AW13" s="118">
        <f>AU13*AR13</f>
        <v>10986.1</v>
      </c>
      <c r="AX13" s="118">
        <f t="shared" ref="AX13:AX62" si="21">AV13*AR13</f>
        <v>13183.32</v>
      </c>
      <c r="AY13" s="119">
        <f t="shared" ref="AY13:AY63" si="22">AP13+AW13</f>
        <v>22064.416666666664</v>
      </c>
      <c r="AZ13" s="120">
        <f>AQ13+AX13+0.04</f>
        <v>26477.339999999997</v>
      </c>
      <c r="BA13" s="9"/>
      <c r="BB13" s="9"/>
      <c r="BC13" s="9"/>
      <c r="BD13" s="9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5"/>
      <c r="CL13" s="35"/>
      <c r="CM13" s="35"/>
      <c r="CN13" s="35"/>
      <c r="CO13" s="35"/>
    </row>
    <row r="14" spans="1:93" s="4" customFormat="1" ht="274.5" outlineLevel="1" x14ac:dyDescent="0.25">
      <c r="A14" s="111">
        <v>2</v>
      </c>
      <c r="B14" s="112" t="s">
        <v>16</v>
      </c>
      <c r="C14" s="113" t="s">
        <v>46</v>
      </c>
      <c r="D14" s="114" t="s">
        <v>19</v>
      </c>
      <c r="E14" s="115">
        <f t="shared" si="0"/>
        <v>2310.8999999999996</v>
      </c>
      <c r="F14" s="116">
        <v>0</v>
      </c>
      <c r="G14" s="116">
        <f t="shared" si="1"/>
        <v>16.666666666666668</v>
      </c>
      <c r="H14" s="116">
        <v>20</v>
      </c>
      <c r="I14" s="116">
        <f t="shared" si="2"/>
        <v>0</v>
      </c>
      <c r="J14" s="115">
        <v>269</v>
      </c>
      <c r="K14" s="116">
        <f t="shared" si="3"/>
        <v>12.916666666666668</v>
      </c>
      <c r="L14" s="116">
        <v>15.5</v>
      </c>
      <c r="M14" s="116">
        <f t="shared" si="4"/>
        <v>4169.5</v>
      </c>
      <c r="N14" s="117">
        <v>278.2</v>
      </c>
      <c r="O14" s="116">
        <f t="shared" si="5"/>
        <v>4.666666666666667</v>
      </c>
      <c r="P14" s="116">
        <v>5.6</v>
      </c>
      <c r="Q14" s="116">
        <f t="shared" si="6"/>
        <v>1557.9199999999998</v>
      </c>
      <c r="R14" s="115">
        <v>0</v>
      </c>
      <c r="S14" s="116">
        <f>T14/1.2</f>
        <v>15.583333333333334</v>
      </c>
      <c r="T14" s="116">
        <v>18.7</v>
      </c>
      <c r="U14" s="116">
        <f t="shared" si="7"/>
        <v>0</v>
      </c>
      <c r="V14" s="116">
        <v>253.5</v>
      </c>
      <c r="W14" s="116">
        <f t="shared" si="8"/>
        <v>6.416666666666667</v>
      </c>
      <c r="X14" s="116">
        <v>7.7</v>
      </c>
      <c r="Y14" s="116">
        <f t="shared" si="9"/>
        <v>1951.95</v>
      </c>
      <c r="Z14" s="115">
        <v>919.5</v>
      </c>
      <c r="AA14" s="116">
        <f t="shared" si="10"/>
        <v>6</v>
      </c>
      <c r="AB14" s="116">
        <v>7.2</v>
      </c>
      <c r="AC14" s="116">
        <f t="shared" si="11"/>
        <v>6620.4000000000005</v>
      </c>
      <c r="AD14" s="116">
        <v>0</v>
      </c>
      <c r="AE14" s="116">
        <f t="shared" si="12"/>
        <v>4.666666666666667</v>
      </c>
      <c r="AF14" s="116">
        <v>5.6</v>
      </c>
      <c r="AG14" s="116">
        <f t="shared" si="13"/>
        <v>0</v>
      </c>
      <c r="AH14" s="117">
        <v>555.5</v>
      </c>
      <c r="AI14" s="116">
        <f t="shared" si="14"/>
        <v>8.3333333333333339</v>
      </c>
      <c r="AJ14" s="116">
        <v>10</v>
      </c>
      <c r="AK14" s="116">
        <f t="shared" si="15"/>
        <v>5555</v>
      </c>
      <c r="AL14" s="117">
        <v>35.200000000000003</v>
      </c>
      <c r="AM14" s="116">
        <f t="shared" si="16"/>
        <v>12.750000000000002</v>
      </c>
      <c r="AN14" s="116">
        <v>15.3</v>
      </c>
      <c r="AO14" s="116">
        <f t="shared" si="17"/>
        <v>538.56000000000006</v>
      </c>
      <c r="AP14" s="116">
        <f t="shared" si="18"/>
        <v>16994.441666666669</v>
      </c>
      <c r="AQ14" s="116">
        <f t="shared" si="19"/>
        <v>20393.330000000002</v>
      </c>
      <c r="AR14" s="117">
        <f>1733.2</f>
        <v>1733.2</v>
      </c>
      <c r="AS14" s="116" t="s">
        <v>210</v>
      </c>
      <c r="AT14" s="118">
        <v>0</v>
      </c>
      <c r="AU14" s="118">
        <f t="shared" si="20"/>
        <v>6.1000000000000005</v>
      </c>
      <c r="AV14" s="144">
        <v>7.32</v>
      </c>
      <c r="AW14" s="118">
        <f t="shared" ref="AW14:AW62" si="23">AU14*AR14</f>
        <v>10572.52</v>
      </c>
      <c r="AX14" s="118">
        <f t="shared" si="21"/>
        <v>12687.024000000001</v>
      </c>
      <c r="AY14" s="119">
        <f t="shared" si="22"/>
        <v>27566.96166666667</v>
      </c>
      <c r="AZ14" s="120">
        <f t="shared" ref="AZ14:AZ63" si="24">AQ14+AX14</f>
        <v>33080.354000000007</v>
      </c>
      <c r="BA14" s="9"/>
      <c r="BB14" s="9"/>
      <c r="BC14" s="9"/>
      <c r="BD14" s="9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5"/>
      <c r="CL14" s="35"/>
      <c r="CM14" s="35"/>
      <c r="CN14" s="35"/>
      <c r="CO14" s="35"/>
    </row>
    <row r="15" spans="1:93" s="4" customFormat="1" ht="274.5" outlineLevel="1" x14ac:dyDescent="0.25">
      <c r="A15" s="111">
        <f t="shared" ref="A15:A24" si="25">A14+1</f>
        <v>3</v>
      </c>
      <c r="B15" s="112" t="s">
        <v>16</v>
      </c>
      <c r="C15" s="113" t="s">
        <v>47</v>
      </c>
      <c r="D15" s="114" t="s">
        <v>19</v>
      </c>
      <c r="E15" s="115">
        <f t="shared" si="0"/>
        <v>5629.9000000000005</v>
      </c>
      <c r="F15" s="116">
        <v>0</v>
      </c>
      <c r="G15" s="116">
        <f t="shared" si="1"/>
        <v>16.666666666666668</v>
      </c>
      <c r="H15" s="116">
        <v>20</v>
      </c>
      <c r="I15" s="116">
        <f t="shared" si="2"/>
        <v>0</v>
      </c>
      <c r="J15" s="115">
        <v>1793.4</v>
      </c>
      <c r="K15" s="116">
        <f t="shared" si="3"/>
        <v>12.916666666666668</v>
      </c>
      <c r="L15" s="116">
        <v>15.5</v>
      </c>
      <c r="M15" s="116">
        <f t="shared" si="4"/>
        <v>27797.7</v>
      </c>
      <c r="N15" s="117">
        <v>1642.7</v>
      </c>
      <c r="O15" s="116">
        <f t="shared" si="5"/>
        <v>4.666666666666667</v>
      </c>
      <c r="P15" s="116">
        <v>5.6</v>
      </c>
      <c r="Q15" s="116">
        <f t="shared" si="6"/>
        <v>9199.119999999999</v>
      </c>
      <c r="R15" s="115">
        <v>0</v>
      </c>
      <c r="S15" s="116">
        <f t="shared" ref="S15:S70" si="26">T15/1.2</f>
        <v>15.583333333333334</v>
      </c>
      <c r="T15" s="116">
        <v>18.7</v>
      </c>
      <c r="U15" s="116">
        <f t="shared" si="7"/>
        <v>0</v>
      </c>
      <c r="V15" s="116">
        <v>562.29999999999995</v>
      </c>
      <c r="W15" s="116">
        <f t="shared" si="8"/>
        <v>6.416666666666667</v>
      </c>
      <c r="X15" s="116">
        <v>7.7</v>
      </c>
      <c r="Y15" s="116">
        <f t="shared" si="9"/>
        <v>4329.71</v>
      </c>
      <c r="Z15" s="115">
        <v>0</v>
      </c>
      <c r="AA15" s="116">
        <f t="shared" si="10"/>
        <v>6</v>
      </c>
      <c r="AB15" s="116">
        <v>7.2</v>
      </c>
      <c r="AC15" s="116">
        <f t="shared" si="11"/>
        <v>0</v>
      </c>
      <c r="AD15" s="116">
        <v>0</v>
      </c>
      <c r="AE15" s="116">
        <f t="shared" si="12"/>
        <v>4.666666666666667</v>
      </c>
      <c r="AF15" s="116">
        <v>5.6</v>
      </c>
      <c r="AG15" s="116">
        <f t="shared" si="13"/>
        <v>0</v>
      </c>
      <c r="AH15" s="117">
        <v>1526</v>
      </c>
      <c r="AI15" s="116">
        <f t="shared" si="14"/>
        <v>8.3333333333333339</v>
      </c>
      <c r="AJ15" s="116">
        <v>10</v>
      </c>
      <c r="AK15" s="116">
        <f t="shared" si="15"/>
        <v>15260</v>
      </c>
      <c r="AL15" s="117">
        <v>105.5</v>
      </c>
      <c r="AM15" s="116">
        <f t="shared" si="16"/>
        <v>12.750000000000002</v>
      </c>
      <c r="AN15" s="116">
        <v>15.3</v>
      </c>
      <c r="AO15" s="116">
        <f t="shared" si="17"/>
        <v>1614.15</v>
      </c>
      <c r="AP15" s="116">
        <f t="shared" si="18"/>
        <v>48500.566666666666</v>
      </c>
      <c r="AQ15" s="116">
        <f t="shared" si="19"/>
        <v>58200.68</v>
      </c>
      <c r="AR15" s="117">
        <v>2766.77</v>
      </c>
      <c r="AS15" s="116" t="s">
        <v>210</v>
      </c>
      <c r="AT15" s="118">
        <v>0</v>
      </c>
      <c r="AU15" s="118">
        <f t="shared" si="20"/>
        <v>6.1000000000000005</v>
      </c>
      <c r="AV15" s="144">
        <v>7.32</v>
      </c>
      <c r="AW15" s="118">
        <f t="shared" si="23"/>
        <v>16877.297000000002</v>
      </c>
      <c r="AX15" s="118">
        <f t="shared" si="21"/>
        <v>20252.756400000002</v>
      </c>
      <c r="AY15" s="119">
        <f t="shared" si="22"/>
        <v>65377.863666666672</v>
      </c>
      <c r="AZ15" s="120">
        <f t="shared" si="24"/>
        <v>78453.436400000006</v>
      </c>
      <c r="BA15" s="9"/>
      <c r="BB15" s="9"/>
      <c r="BC15" s="9"/>
      <c r="BD15" s="9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5"/>
      <c r="CL15" s="35"/>
      <c r="CM15" s="35"/>
      <c r="CN15" s="35"/>
      <c r="CO15" s="35"/>
    </row>
    <row r="16" spans="1:93" s="35" customFormat="1" ht="274.5" outlineLevel="1" x14ac:dyDescent="0.25">
      <c r="A16" s="111">
        <f t="shared" si="25"/>
        <v>4</v>
      </c>
      <c r="B16" s="112" t="s">
        <v>16</v>
      </c>
      <c r="C16" s="113" t="s">
        <v>195</v>
      </c>
      <c r="D16" s="114" t="s">
        <v>19</v>
      </c>
      <c r="E16" s="115">
        <f t="shared" si="0"/>
        <v>4563.1000000000004</v>
      </c>
      <c r="F16" s="116">
        <v>0</v>
      </c>
      <c r="G16" s="116">
        <f t="shared" si="1"/>
        <v>16.666666666666668</v>
      </c>
      <c r="H16" s="116">
        <v>20</v>
      </c>
      <c r="I16" s="116">
        <f t="shared" si="2"/>
        <v>0</v>
      </c>
      <c r="J16" s="115">
        <v>1442.3</v>
      </c>
      <c r="K16" s="116">
        <f t="shared" si="3"/>
        <v>12.916666666666668</v>
      </c>
      <c r="L16" s="116">
        <v>15.5</v>
      </c>
      <c r="M16" s="116">
        <f t="shared" si="4"/>
        <v>22355.649999999998</v>
      </c>
      <c r="N16" s="117">
        <v>0</v>
      </c>
      <c r="O16" s="116">
        <f t="shared" si="5"/>
        <v>4.666666666666667</v>
      </c>
      <c r="P16" s="116">
        <v>5.6</v>
      </c>
      <c r="Q16" s="116">
        <f t="shared" si="6"/>
        <v>0</v>
      </c>
      <c r="R16" s="115">
        <v>0</v>
      </c>
      <c r="S16" s="116">
        <f t="shared" si="26"/>
        <v>15.583333333333334</v>
      </c>
      <c r="T16" s="116">
        <v>18.7</v>
      </c>
      <c r="U16" s="116">
        <f t="shared" si="7"/>
        <v>0</v>
      </c>
      <c r="V16" s="116">
        <f>49.7+45+34.3</f>
        <v>129</v>
      </c>
      <c r="W16" s="116">
        <f t="shared" si="8"/>
        <v>6.416666666666667</v>
      </c>
      <c r="X16" s="116">
        <v>7.7</v>
      </c>
      <c r="Y16" s="116">
        <f t="shared" si="9"/>
        <v>993.30000000000007</v>
      </c>
      <c r="Z16" s="115">
        <f>196.6+6.5+184.7+26.2+50.9+26.4+600.4+149.5+397.2+26.4+38.2+26.4+24.8+26.4+250</f>
        <v>2030.6000000000001</v>
      </c>
      <c r="AA16" s="116">
        <f t="shared" si="10"/>
        <v>6</v>
      </c>
      <c r="AB16" s="116">
        <v>7.2</v>
      </c>
      <c r="AC16" s="116">
        <f t="shared" si="11"/>
        <v>14620.320000000002</v>
      </c>
      <c r="AD16" s="116">
        <v>0</v>
      </c>
      <c r="AE16" s="116">
        <f t="shared" si="12"/>
        <v>4.666666666666667</v>
      </c>
      <c r="AF16" s="116">
        <v>5.6</v>
      </c>
      <c r="AG16" s="116">
        <f t="shared" si="13"/>
        <v>0</v>
      </c>
      <c r="AH16" s="117">
        <f>866.9</f>
        <v>866.9</v>
      </c>
      <c r="AI16" s="116">
        <f t="shared" si="14"/>
        <v>8.3333333333333339</v>
      </c>
      <c r="AJ16" s="116">
        <v>10</v>
      </c>
      <c r="AK16" s="116">
        <f t="shared" si="15"/>
        <v>8669</v>
      </c>
      <c r="AL16" s="117">
        <f>25.8+12+12.2+11.5+11.8+21</f>
        <v>94.3</v>
      </c>
      <c r="AM16" s="116">
        <f t="shared" si="16"/>
        <v>12.750000000000002</v>
      </c>
      <c r="AN16" s="116">
        <v>15.3</v>
      </c>
      <c r="AO16" s="116">
        <f t="shared" si="17"/>
        <v>1442.79</v>
      </c>
      <c r="AP16" s="116">
        <f t="shared" si="18"/>
        <v>40067.550000000003</v>
      </c>
      <c r="AQ16" s="116">
        <f t="shared" si="19"/>
        <v>48081.06</v>
      </c>
      <c r="AR16" s="117">
        <v>225</v>
      </c>
      <c r="AS16" s="116" t="s">
        <v>210</v>
      </c>
      <c r="AT16" s="118">
        <v>0</v>
      </c>
      <c r="AU16" s="118">
        <f t="shared" si="20"/>
        <v>6.1000000000000005</v>
      </c>
      <c r="AV16" s="144">
        <v>7.32</v>
      </c>
      <c r="AW16" s="118">
        <f t="shared" si="23"/>
        <v>1372.5000000000002</v>
      </c>
      <c r="AX16" s="118">
        <f t="shared" si="21"/>
        <v>1647</v>
      </c>
      <c r="AY16" s="119">
        <f t="shared" si="22"/>
        <v>41440.050000000003</v>
      </c>
      <c r="AZ16" s="120">
        <f t="shared" si="24"/>
        <v>49728.06</v>
      </c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</row>
    <row r="17" spans="1:93" s="35" customFormat="1" ht="274.5" outlineLevel="1" x14ac:dyDescent="0.25">
      <c r="A17" s="111">
        <f t="shared" si="25"/>
        <v>5</v>
      </c>
      <c r="B17" s="112" t="s">
        <v>16</v>
      </c>
      <c r="C17" s="113" t="s">
        <v>211</v>
      </c>
      <c r="D17" s="114" t="s">
        <v>19</v>
      </c>
      <c r="E17" s="115">
        <f t="shared" si="0"/>
        <v>3570.9</v>
      </c>
      <c r="F17" s="116">
        <v>0</v>
      </c>
      <c r="G17" s="116">
        <f t="shared" si="1"/>
        <v>16.666666666666668</v>
      </c>
      <c r="H17" s="116">
        <v>20</v>
      </c>
      <c r="I17" s="116">
        <f t="shared" si="2"/>
        <v>0</v>
      </c>
      <c r="J17" s="115">
        <v>1593.2</v>
      </c>
      <c r="K17" s="116">
        <f t="shared" si="3"/>
        <v>12.916666666666668</v>
      </c>
      <c r="L17" s="116">
        <v>15.5</v>
      </c>
      <c r="M17" s="116">
        <f t="shared" si="4"/>
        <v>24694.600000000002</v>
      </c>
      <c r="N17" s="117">
        <v>102.5</v>
      </c>
      <c r="O17" s="116">
        <f t="shared" si="5"/>
        <v>4.666666666666667</v>
      </c>
      <c r="P17" s="116">
        <v>5.6</v>
      </c>
      <c r="Q17" s="116">
        <f t="shared" ref="Q17" si="27">P17*N17</f>
        <v>574</v>
      </c>
      <c r="R17" s="115">
        <v>0</v>
      </c>
      <c r="S17" s="116">
        <f t="shared" si="26"/>
        <v>15.583333333333334</v>
      </c>
      <c r="T17" s="116">
        <v>18.7</v>
      </c>
      <c r="U17" s="116">
        <f t="shared" ref="U17" si="28">T17*R17</f>
        <v>0</v>
      </c>
      <c r="V17" s="116">
        <v>65.2</v>
      </c>
      <c r="W17" s="116">
        <f t="shared" si="8"/>
        <v>6.416666666666667</v>
      </c>
      <c r="X17" s="116">
        <v>7.7</v>
      </c>
      <c r="Y17" s="116">
        <f t="shared" ref="Y17" si="29">X17*V17</f>
        <v>502.04</v>
      </c>
      <c r="Z17" s="115">
        <v>1727.5</v>
      </c>
      <c r="AA17" s="116">
        <f t="shared" si="10"/>
        <v>6</v>
      </c>
      <c r="AB17" s="116">
        <v>7.2</v>
      </c>
      <c r="AC17" s="116">
        <f t="shared" ref="AC17" si="30">AB17*Z17</f>
        <v>12438</v>
      </c>
      <c r="AD17" s="116">
        <v>0</v>
      </c>
      <c r="AE17" s="116">
        <f t="shared" si="12"/>
        <v>4.666666666666667</v>
      </c>
      <c r="AF17" s="116">
        <v>5.6</v>
      </c>
      <c r="AG17" s="116">
        <f t="shared" ref="AG17" si="31">AF17*AD17</f>
        <v>0</v>
      </c>
      <c r="AH17" s="117">
        <v>0</v>
      </c>
      <c r="AI17" s="116">
        <f t="shared" si="14"/>
        <v>8.3333333333333339</v>
      </c>
      <c r="AJ17" s="116">
        <v>10</v>
      </c>
      <c r="AK17" s="116">
        <f t="shared" ref="AK17" si="32">AJ17*AH17</f>
        <v>0</v>
      </c>
      <c r="AL17" s="117">
        <v>82.5</v>
      </c>
      <c r="AM17" s="116">
        <f t="shared" si="16"/>
        <v>12.750000000000002</v>
      </c>
      <c r="AN17" s="116">
        <v>15.3</v>
      </c>
      <c r="AO17" s="116">
        <f t="shared" ref="AO17" si="33">AN17*AL17</f>
        <v>1262.25</v>
      </c>
      <c r="AP17" s="116">
        <f t="shared" si="18"/>
        <v>32892.408333333333</v>
      </c>
      <c r="AQ17" s="116">
        <f t="shared" ref="AQ17" si="34">I17+M17+Q17+U17+Y17+AC17+AG17+AK17+AO17</f>
        <v>39470.89</v>
      </c>
      <c r="AR17" s="117">
        <v>3064</v>
      </c>
      <c r="AS17" s="116" t="s">
        <v>210</v>
      </c>
      <c r="AT17" s="118">
        <v>0</v>
      </c>
      <c r="AU17" s="118">
        <f t="shared" si="20"/>
        <v>6.1000000000000005</v>
      </c>
      <c r="AV17" s="144">
        <v>7.32</v>
      </c>
      <c r="AW17" s="118">
        <f t="shared" ref="AW17" si="35">AU17*AR17</f>
        <v>18690.400000000001</v>
      </c>
      <c r="AX17" s="118">
        <f t="shared" ref="AX17" si="36">AV17*AR17</f>
        <v>22428.48</v>
      </c>
      <c r="AY17" s="119">
        <f t="shared" ref="AY17" si="37">AP17+AW17</f>
        <v>51582.808333333334</v>
      </c>
      <c r="AZ17" s="120">
        <f t="shared" ref="AZ17" si="38">AQ17+AX17</f>
        <v>61899.369999999995</v>
      </c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</row>
    <row r="18" spans="1:93" s="4" customFormat="1" ht="274.5" outlineLevel="1" x14ac:dyDescent="0.25">
      <c r="A18" s="111">
        <f t="shared" si="25"/>
        <v>6</v>
      </c>
      <c r="B18" s="112" t="s">
        <v>16</v>
      </c>
      <c r="C18" s="113" t="s">
        <v>196</v>
      </c>
      <c r="D18" s="114" t="s">
        <v>19</v>
      </c>
      <c r="E18" s="115">
        <f t="shared" si="0"/>
        <v>4581.05</v>
      </c>
      <c r="F18" s="116">
        <v>0</v>
      </c>
      <c r="G18" s="116">
        <f t="shared" si="1"/>
        <v>16.666666666666668</v>
      </c>
      <c r="H18" s="116">
        <v>20</v>
      </c>
      <c r="I18" s="116">
        <f t="shared" si="2"/>
        <v>0</v>
      </c>
      <c r="J18" s="115">
        <f>118.75+531.6+577.7+644.5+757.7+87.5</f>
        <v>2717.75</v>
      </c>
      <c r="K18" s="116">
        <f t="shared" si="3"/>
        <v>12.916666666666668</v>
      </c>
      <c r="L18" s="116">
        <v>15.5</v>
      </c>
      <c r="M18" s="116">
        <f t="shared" si="4"/>
        <v>42125.125</v>
      </c>
      <c r="N18" s="117">
        <v>130.1</v>
      </c>
      <c r="O18" s="116">
        <f t="shared" si="5"/>
        <v>4.666666666666667</v>
      </c>
      <c r="P18" s="116">
        <v>5.6</v>
      </c>
      <c r="Q18" s="116">
        <f t="shared" si="6"/>
        <v>728.56</v>
      </c>
      <c r="R18" s="115">
        <v>0</v>
      </c>
      <c r="S18" s="116">
        <f t="shared" si="26"/>
        <v>15.583333333333334</v>
      </c>
      <c r="T18" s="116">
        <v>18.7</v>
      </c>
      <c r="U18" s="116">
        <f t="shared" si="7"/>
        <v>0</v>
      </c>
      <c r="V18" s="116">
        <v>0</v>
      </c>
      <c r="W18" s="116">
        <f t="shared" si="8"/>
        <v>6.416666666666667</v>
      </c>
      <c r="X18" s="116">
        <v>7.7</v>
      </c>
      <c r="Y18" s="116">
        <f t="shared" si="9"/>
        <v>0</v>
      </c>
      <c r="Z18" s="115">
        <f>30.2+82.9+274.5+25.9+106+21+189.2+104.3+191.5+47.5+200.3+47.5+195.5+47.5+36.6</f>
        <v>1600.3999999999999</v>
      </c>
      <c r="AA18" s="116">
        <f t="shared" si="10"/>
        <v>6</v>
      </c>
      <c r="AB18" s="116">
        <v>7.2</v>
      </c>
      <c r="AC18" s="116">
        <f t="shared" si="11"/>
        <v>11522.88</v>
      </c>
      <c r="AD18" s="116">
        <v>0</v>
      </c>
      <c r="AE18" s="116">
        <f t="shared" si="12"/>
        <v>4.666666666666667</v>
      </c>
      <c r="AF18" s="116">
        <v>5.6</v>
      </c>
      <c r="AG18" s="116">
        <f t="shared" si="13"/>
        <v>0</v>
      </c>
      <c r="AH18" s="117">
        <f>20.2</f>
        <v>20.2</v>
      </c>
      <c r="AI18" s="116">
        <f t="shared" si="14"/>
        <v>8.3333333333333339</v>
      </c>
      <c r="AJ18" s="116">
        <v>10</v>
      </c>
      <c r="AK18" s="116">
        <f t="shared" si="15"/>
        <v>202</v>
      </c>
      <c r="AL18" s="117">
        <f>5.2+21.2+20.7+32.3+33.2</f>
        <v>112.6</v>
      </c>
      <c r="AM18" s="116">
        <f t="shared" si="16"/>
        <v>12.750000000000002</v>
      </c>
      <c r="AN18" s="116">
        <v>15.3</v>
      </c>
      <c r="AO18" s="116">
        <f t="shared" si="17"/>
        <v>1722.78</v>
      </c>
      <c r="AP18" s="116">
        <f t="shared" si="18"/>
        <v>46917.787499999999</v>
      </c>
      <c r="AQ18" s="116">
        <f t="shared" si="19"/>
        <v>56301.344999999994</v>
      </c>
      <c r="AR18" s="117">
        <v>982.23</v>
      </c>
      <c r="AS18" s="116" t="s">
        <v>210</v>
      </c>
      <c r="AT18" s="118">
        <v>0</v>
      </c>
      <c r="AU18" s="118">
        <f t="shared" si="20"/>
        <v>6.1000000000000005</v>
      </c>
      <c r="AV18" s="144">
        <v>7.32</v>
      </c>
      <c r="AW18" s="118">
        <f t="shared" si="23"/>
        <v>5991.603000000001</v>
      </c>
      <c r="AX18" s="118">
        <f t="shared" si="21"/>
        <v>7189.9236000000001</v>
      </c>
      <c r="AY18" s="119">
        <f t="shared" si="22"/>
        <v>52909.390500000001</v>
      </c>
      <c r="AZ18" s="120">
        <f t="shared" si="24"/>
        <v>63491.268599999996</v>
      </c>
      <c r="BA18" s="9"/>
      <c r="BB18" s="9"/>
      <c r="BC18" s="9"/>
      <c r="BD18" s="9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5"/>
      <c r="CL18" s="35"/>
      <c r="CM18" s="35"/>
      <c r="CN18" s="35"/>
      <c r="CO18" s="35"/>
    </row>
    <row r="19" spans="1:93" s="4" customFormat="1" ht="274.5" outlineLevel="1" x14ac:dyDescent="0.25">
      <c r="A19" s="111">
        <v>7</v>
      </c>
      <c r="B19" s="112" t="s">
        <v>16</v>
      </c>
      <c r="C19" s="113" t="s">
        <v>233</v>
      </c>
      <c r="D19" s="114" t="s">
        <v>19</v>
      </c>
      <c r="E19" s="115">
        <f t="shared" ref="E19" si="39">F19+J19+N19+R19+V19+Z19+AD19+AH19+AL19</f>
        <v>1597.5</v>
      </c>
      <c r="F19" s="116">
        <v>0</v>
      </c>
      <c r="G19" s="116">
        <f t="shared" ref="G19" si="40">H19/1.2</f>
        <v>16.666666666666668</v>
      </c>
      <c r="H19" s="116">
        <v>20</v>
      </c>
      <c r="I19" s="116">
        <f t="shared" ref="I19" si="41">H19*F19</f>
        <v>0</v>
      </c>
      <c r="J19" s="115">
        <v>790.1</v>
      </c>
      <c r="K19" s="116">
        <f t="shared" ref="K19" si="42">L19/1.2</f>
        <v>12.916666666666668</v>
      </c>
      <c r="L19" s="116">
        <v>15.5</v>
      </c>
      <c r="M19" s="116">
        <f t="shared" ref="M19" si="43">L19*J19</f>
        <v>12246.550000000001</v>
      </c>
      <c r="N19" s="117">
        <v>0</v>
      </c>
      <c r="O19" s="116">
        <f t="shared" ref="O19" si="44">P19/1.2</f>
        <v>4.666666666666667</v>
      </c>
      <c r="P19" s="116">
        <v>5.6</v>
      </c>
      <c r="Q19" s="116">
        <f t="shared" ref="Q19" si="45">P19*N19</f>
        <v>0</v>
      </c>
      <c r="R19" s="115">
        <v>0</v>
      </c>
      <c r="S19" s="116">
        <f t="shared" ref="S19" si="46">T19/1.2</f>
        <v>15.583333333333334</v>
      </c>
      <c r="T19" s="116">
        <v>18.7</v>
      </c>
      <c r="U19" s="116">
        <f t="shared" ref="U19" si="47">T19*R19</f>
        <v>0</v>
      </c>
      <c r="V19" s="116">
        <v>0</v>
      </c>
      <c r="W19" s="116">
        <f t="shared" ref="W19" si="48">X19/1.2</f>
        <v>6.416666666666667</v>
      </c>
      <c r="X19" s="116">
        <v>7.7</v>
      </c>
      <c r="Y19" s="116">
        <f t="shared" ref="Y19" si="49">X19*V19</f>
        <v>0</v>
      </c>
      <c r="Z19" s="115">
        <v>78.900000000000006</v>
      </c>
      <c r="AA19" s="116">
        <f t="shared" ref="AA19" si="50">AB19/1.2</f>
        <v>6</v>
      </c>
      <c r="AB19" s="116">
        <v>7.2</v>
      </c>
      <c r="AC19" s="116">
        <f t="shared" ref="AC19" si="51">AB19*Z19</f>
        <v>568.08000000000004</v>
      </c>
      <c r="AD19" s="116">
        <v>0</v>
      </c>
      <c r="AE19" s="116">
        <f t="shared" ref="AE19" si="52">AF19/1.2</f>
        <v>4.666666666666667</v>
      </c>
      <c r="AF19" s="116">
        <v>5.6</v>
      </c>
      <c r="AG19" s="116">
        <f t="shared" ref="AG19" si="53">AF19*AD19</f>
        <v>0</v>
      </c>
      <c r="AH19" s="117">
        <v>708.4</v>
      </c>
      <c r="AI19" s="116">
        <f t="shared" ref="AI19" si="54">AJ19/1.2</f>
        <v>8.3333333333333339</v>
      </c>
      <c r="AJ19" s="116">
        <v>10</v>
      </c>
      <c r="AK19" s="116">
        <f t="shared" ref="AK19" si="55">AJ19*AH19</f>
        <v>7084</v>
      </c>
      <c r="AL19" s="117">
        <v>20.100000000000001</v>
      </c>
      <c r="AM19" s="116">
        <f t="shared" ref="AM19" si="56">AN19/1.2</f>
        <v>12.750000000000002</v>
      </c>
      <c r="AN19" s="116">
        <v>15.3</v>
      </c>
      <c r="AO19" s="116">
        <f t="shared" ref="AO19" si="57">AN19*AL19</f>
        <v>307.53000000000003</v>
      </c>
      <c r="AP19" s="116">
        <f t="shared" ref="AP19" si="58">AQ19/1.2</f>
        <v>16838.466666666667</v>
      </c>
      <c r="AQ19" s="116">
        <f t="shared" ref="AQ19" si="59">I19+M19+Q19+U19+Y19+AC19+AG19+AK19+AO19</f>
        <v>20206.16</v>
      </c>
      <c r="AR19" s="117">
        <v>0</v>
      </c>
      <c r="AS19" s="116" t="s">
        <v>210</v>
      </c>
      <c r="AT19" s="118">
        <v>0</v>
      </c>
      <c r="AU19" s="118">
        <f t="shared" ref="AU19" si="60">AV19/1.2</f>
        <v>6.1000000000000005</v>
      </c>
      <c r="AV19" s="144">
        <v>7.32</v>
      </c>
      <c r="AW19" s="118">
        <f t="shared" ref="AW19" si="61">AU19*AR19</f>
        <v>0</v>
      </c>
      <c r="AX19" s="118">
        <f t="shared" ref="AX19" si="62">AV19*AR19</f>
        <v>0</v>
      </c>
      <c r="AY19" s="119">
        <f t="shared" ref="AY19" si="63">AP19+AW19</f>
        <v>16838.466666666667</v>
      </c>
      <c r="AZ19" s="120">
        <f t="shared" ref="AZ19" si="64">AQ19+AX19</f>
        <v>20206.16</v>
      </c>
      <c r="BA19" s="9"/>
      <c r="BB19" s="9"/>
      <c r="BC19" s="9"/>
      <c r="BD19" s="9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5"/>
      <c r="CL19" s="35"/>
      <c r="CM19" s="35"/>
      <c r="CN19" s="35"/>
      <c r="CO19" s="35"/>
    </row>
    <row r="20" spans="1:93" s="4" customFormat="1" ht="274.5" outlineLevel="1" x14ac:dyDescent="0.25">
      <c r="A20" s="111">
        <v>8</v>
      </c>
      <c r="B20" s="112" t="s">
        <v>16</v>
      </c>
      <c r="C20" s="113" t="s">
        <v>48</v>
      </c>
      <c r="D20" s="114" t="s">
        <v>19</v>
      </c>
      <c r="E20" s="115">
        <f t="shared" si="0"/>
        <v>1275.1000000000001</v>
      </c>
      <c r="F20" s="116">
        <v>0</v>
      </c>
      <c r="G20" s="116">
        <f t="shared" si="1"/>
        <v>16.666666666666668</v>
      </c>
      <c r="H20" s="116">
        <v>20</v>
      </c>
      <c r="I20" s="116">
        <f t="shared" si="2"/>
        <v>0</v>
      </c>
      <c r="J20" s="115">
        <v>35.5</v>
      </c>
      <c r="K20" s="116">
        <f t="shared" si="3"/>
        <v>12.916666666666668</v>
      </c>
      <c r="L20" s="116">
        <v>15.5</v>
      </c>
      <c r="M20" s="116">
        <f t="shared" si="4"/>
        <v>550.25</v>
      </c>
      <c r="N20" s="117">
        <v>409.1</v>
      </c>
      <c r="O20" s="116">
        <f t="shared" si="5"/>
        <v>4.666666666666667</v>
      </c>
      <c r="P20" s="116">
        <v>5.6</v>
      </c>
      <c r="Q20" s="116">
        <f t="shared" si="6"/>
        <v>2290.96</v>
      </c>
      <c r="R20" s="115">
        <v>0</v>
      </c>
      <c r="S20" s="116">
        <f t="shared" si="26"/>
        <v>15.583333333333334</v>
      </c>
      <c r="T20" s="116">
        <v>18.7</v>
      </c>
      <c r="U20" s="116">
        <f t="shared" si="7"/>
        <v>0</v>
      </c>
      <c r="V20" s="116">
        <v>58.6</v>
      </c>
      <c r="W20" s="116">
        <f t="shared" si="8"/>
        <v>6.416666666666667</v>
      </c>
      <c r="X20" s="116">
        <v>7.7</v>
      </c>
      <c r="Y20" s="116">
        <f t="shared" si="9"/>
        <v>451.22</v>
      </c>
      <c r="Z20" s="115">
        <v>385.4</v>
      </c>
      <c r="AA20" s="116">
        <f t="shared" si="10"/>
        <v>6</v>
      </c>
      <c r="AB20" s="116">
        <v>7.2</v>
      </c>
      <c r="AC20" s="116">
        <f t="shared" si="11"/>
        <v>2774.88</v>
      </c>
      <c r="AD20" s="116">
        <v>0</v>
      </c>
      <c r="AE20" s="116">
        <f t="shared" si="12"/>
        <v>4.666666666666667</v>
      </c>
      <c r="AF20" s="116">
        <v>5.6</v>
      </c>
      <c r="AG20" s="116">
        <f t="shared" si="13"/>
        <v>0</v>
      </c>
      <c r="AH20" s="117">
        <v>382.6</v>
      </c>
      <c r="AI20" s="116">
        <f t="shared" si="14"/>
        <v>8.3333333333333339</v>
      </c>
      <c r="AJ20" s="116">
        <v>10</v>
      </c>
      <c r="AK20" s="116">
        <f t="shared" si="15"/>
        <v>3826</v>
      </c>
      <c r="AL20" s="117">
        <v>3.9</v>
      </c>
      <c r="AM20" s="116">
        <f t="shared" si="16"/>
        <v>12.750000000000002</v>
      </c>
      <c r="AN20" s="116">
        <v>15.3</v>
      </c>
      <c r="AO20" s="116">
        <f t="shared" si="17"/>
        <v>59.67</v>
      </c>
      <c r="AP20" s="116">
        <f t="shared" si="18"/>
        <v>8294.1500000000015</v>
      </c>
      <c r="AQ20" s="116">
        <f t="shared" si="19"/>
        <v>9952.9800000000014</v>
      </c>
      <c r="AR20" s="117">
        <v>1071</v>
      </c>
      <c r="AS20" s="116" t="s">
        <v>210</v>
      </c>
      <c r="AT20" s="118">
        <v>0</v>
      </c>
      <c r="AU20" s="118">
        <f t="shared" si="20"/>
        <v>6.1000000000000005</v>
      </c>
      <c r="AV20" s="144">
        <v>7.32</v>
      </c>
      <c r="AW20" s="118">
        <f t="shared" si="23"/>
        <v>6533.1</v>
      </c>
      <c r="AX20" s="118">
        <f t="shared" si="21"/>
        <v>7839.72</v>
      </c>
      <c r="AY20" s="119">
        <f t="shared" si="22"/>
        <v>14827.250000000002</v>
      </c>
      <c r="AZ20" s="120">
        <f t="shared" si="24"/>
        <v>17792.7</v>
      </c>
      <c r="BA20" s="9"/>
      <c r="BB20" s="9"/>
      <c r="BC20" s="9"/>
      <c r="BD20" s="9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5"/>
      <c r="CL20" s="35"/>
      <c r="CM20" s="35"/>
      <c r="CN20" s="35"/>
      <c r="CO20" s="35"/>
    </row>
    <row r="21" spans="1:93" s="4" customFormat="1" ht="274.5" outlineLevel="1" x14ac:dyDescent="0.25">
      <c r="A21" s="111">
        <v>9</v>
      </c>
      <c r="B21" s="112" t="s">
        <v>16</v>
      </c>
      <c r="C21" s="113" t="s">
        <v>49</v>
      </c>
      <c r="D21" s="114" t="s">
        <v>19</v>
      </c>
      <c r="E21" s="115">
        <f t="shared" si="0"/>
        <v>641.59999999999991</v>
      </c>
      <c r="F21" s="116">
        <v>0</v>
      </c>
      <c r="G21" s="116">
        <f t="shared" si="1"/>
        <v>16.666666666666668</v>
      </c>
      <c r="H21" s="116">
        <v>20</v>
      </c>
      <c r="I21" s="116">
        <f t="shared" si="2"/>
        <v>0</v>
      </c>
      <c r="J21" s="115">
        <v>205.1</v>
      </c>
      <c r="K21" s="116">
        <f t="shared" si="3"/>
        <v>12.916666666666668</v>
      </c>
      <c r="L21" s="116">
        <v>15.5</v>
      </c>
      <c r="M21" s="116">
        <f t="shared" si="4"/>
        <v>3179.0499999999997</v>
      </c>
      <c r="N21" s="117">
        <v>52.1</v>
      </c>
      <c r="O21" s="116">
        <f t="shared" si="5"/>
        <v>4.666666666666667</v>
      </c>
      <c r="P21" s="116">
        <v>5.6</v>
      </c>
      <c r="Q21" s="116">
        <f t="shared" si="6"/>
        <v>291.76</v>
      </c>
      <c r="R21" s="115">
        <v>0</v>
      </c>
      <c r="S21" s="116">
        <f t="shared" si="26"/>
        <v>15.583333333333334</v>
      </c>
      <c r="T21" s="116">
        <v>18.7</v>
      </c>
      <c r="U21" s="116">
        <f t="shared" si="7"/>
        <v>0</v>
      </c>
      <c r="V21" s="116">
        <v>16.899999999999999</v>
      </c>
      <c r="W21" s="116">
        <f t="shared" si="8"/>
        <v>6.416666666666667</v>
      </c>
      <c r="X21" s="116">
        <v>7.7</v>
      </c>
      <c r="Y21" s="116">
        <f t="shared" si="9"/>
        <v>130.13</v>
      </c>
      <c r="Z21" s="115">
        <v>89.1</v>
      </c>
      <c r="AA21" s="116">
        <f t="shared" si="10"/>
        <v>6</v>
      </c>
      <c r="AB21" s="116">
        <v>7.2</v>
      </c>
      <c r="AC21" s="116">
        <f t="shared" si="11"/>
        <v>641.52</v>
      </c>
      <c r="AD21" s="116">
        <v>0</v>
      </c>
      <c r="AE21" s="116">
        <f t="shared" si="12"/>
        <v>4.666666666666667</v>
      </c>
      <c r="AF21" s="116">
        <v>5.6</v>
      </c>
      <c r="AG21" s="116">
        <f t="shared" si="13"/>
        <v>0</v>
      </c>
      <c r="AH21" s="117">
        <v>271.5</v>
      </c>
      <c r="AI21" s="116">
        <f t="shared" si="14"/>
        <v>8.3333333333333339</v>
      </c>
      <c r="AJ21" s="116">
        <v>10</v>
      </c>
      <c r="AK21" s="116">
        <f t="shared" si="15"/>
        <v>2715</v>
      </c>
      <c r="AL21" s="117">
        <v>6.9</v>
      </c>
      <c r="AM21" s="116">
        <f t="shared" si="16"/>
        <v>12.750000000000002</v>
      </c>
      <c r="AN21" s="116">
        <v>15.3</v>
      </c>
      <c r="AO21" s="116">
        <f t="shared" si="17"/>
        <v>105.57000000000001</v>
      </c>
      <c r="AP21" s="116">
        <f t="shared" si="18"/>
        <v>5885.8583333333327</v>
      </c>
      <c r="AQ21" s="116">
        <f t="shared" si="19"/>
        <v>7063.0299999999988</v>
      </c>
      <c r="AR21" s="117">
        <v>856</v>
      </c>
      <c r="AS21" s="116" t="s">
        <v>210</v>
      </c>
      <c r="AT21" s="118">
        <v>0</v>
      </c>
      <c r="AU21" s="118">
        <f t="shared" si="20"/>
        <v>6.1000000000000005</v>
      </c>
      <c r="AV21" s="144">
        <v>7.32</v>
      </c>
      <c r="AW21" s="118">
        <f t="shared" si="23"/>
        <v>5221.6000000000004</v>
      </c>
      <c r="AX21" s="118">
        <f t="shared" si="21"/>
        <v>6265.92</v>
      </c>
      <c r="AY21" s="119">
        <f t="shared" si="22"/>
        <v>11107.458333333332</v>
      </c>
      <c r="AZ21" s="120">
        <f t="shared" si="24"/>
        <v>13328.949999999999</v>
      </c>
      <c r="BA21" s="9"/>
      <c r="BB21" s="9"/>
      <c r="BC21" s="9"/>
      <c r="BD21" s="9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5"/>
      <c r="CL21" s="35"/>
      <c r="CM21" s="35"/>
      <c r="CN21" s="35"/>
      <c r="CO21" s="35"/>
    </row>
    <row r="22" spans="1:93" s="4" customFormat="1" ht="274.5" outlineLevel="1" x14ac:dyDescent="0.65">
      <c r="A22" s="111">
        <f t="shared" si="25"/>
        <v>10</v>
      </c>
      <c r="B22" s="112" t="s">
        <v>16</v>
      </c>
      <c r="C22" s="113" t="s">
        <v>50</v>
      </c>
      <c r="D22" s="114" t="s">
        <v>19</v>
      </c>
      <c r="E22" s="115">
        <f t="shared" si="0"/>
        <v>2358.2000000000003</v>
      </c>
      <c r="F22" s="116">
        <v>0</v>
      </c>
      <c r="G22" s="116">
        <f t="shared" si="1"/>
        <v>16.666666666666668</v>
      </c>
      <c r="H22" s="116">
        <v>20</v>
      </c>
      <c r="I22" s="116">
        <f t="shared" si="2"/>
        <v>0</v>
      </c>
      <c r="J22" s="115">
        <v>691.7</v>
      </c>
      <c r="K22" s="116">
        <f t="shared" si="3"/>
        <v>12.916666666666668</v>
      </c>
      <c r="L22" s="116">
        <v>15.5</v>
      </c>
      <c r="M22" s="116">
        <f t="shared" si="4"/>
        <v>10721.35</v>
      </c>
      <c r="N22" s="117">
        <v>209.9</v>
      </c>
      <c r="O22" s="116">
        <f t="shared" si="5"/>
        <v>4.666666666666667</v>
      </c>
      <c r="P22" s="116">
        <v>5.6</v>
      </c>
      <c r="Q22" s="116">
        <f t="shared" si="6"/>
        <v>1175.44</v>
      </c>
      <c r="R22" s="115">
        <v>0</v>
      </c>
      <c r="S22" s="116">
        <f t="shared" si="26"/>
        <v>15.583333333333334</v>
      </c>
      <c r="T22" s="116">
        <v>18.7</v>
      </c>
      <c r="U22" s="116">
        <f t="shared" si="7"/>
        <v>0</v>
      </c>
      <c r="V22" s="116">
        <v>620.1</v>
      </c>
      <c r="W22" s="116">
        <f t="shared" si="8"/>
        <v>6.416666666666667</v>
      </c>
      <c r="X22" s="116">
        <v>7.7</v>
      </c>
      <c r="Y22" s="116">
        <f t="shared" si="9"/>
        <v>4774.7700000000004</v>
      </c>
      <c r="Z22" s="115">
        <v>0</v>
      </c>
      <c r="AA22" s="116">
        <f t="shared" si="10"/>
        <v>6</v>
      </c>
      <c r="AB22" s="116">
        <v>7.2</v>
      </c>
      <c r="AC22" s="116">
        <f t="shared" si="11"/>
        <v>0</v>
      </c>
      <c r="AD22" s="116">
        <v>0</v>
      </c>
      <c r="AE22" s="116">
        <f t="shared" si="12"/>
        <v>4.666666666666667</v>
      </c>
      <c r="AF22" s="116">
        <v>5.6</v>
      </c>
      <c r="AG22" s="116">
        <f t="shared" si="13"/>
        <v>0</v>
      </c>
      <c r="AH22" s="117">
        <v>786.1</v>
      </c>
      <c r="AI22" s="116">
        <f t="shared" si="14"/>
        <v>8.3333333333333339</v>
      </c>
      <c r="AJ22" s="116">
        <v>10</v>
      </c>
      <c r="AK22" s="116">
        <f t="shared" si="15"/>
        <v>7861</v>
      </c>
      <c r="AL22" s="117">
        <v>50.4</v>
      </c>
      <c r="AM22" s="116">
        <f t="shared" si="16"/>
        <v>12.750000000000002</v>
      </c>
      <c r="AN22" s="116">
        <v>15.3</v>
      </c>
      <c r="AO22" s="116">
        <f t="shared" si="17"/>
        <v>771.12</v>
      </c>
      <c r="AP22" s="116">
        <f t="shared" si="18"/>
        <v>21086.400000000001</v>
      </c>
      <c r="AQ22" s="116">
        <f t="shared" si="19"/>
        <v>25303.68</v>
      </c>
      <c r="AR22" s="117">
        <v>1868</v>
      </c>
      <c r="AS22" s="116" t="s">
        <v>210</v>
      </c>
      <c r="AT22" s="118">
        <v>0</v>
      </c>
      <c r="AU22" s="118">
        <f t="shared" si="20"/>
        <v>6.1000000000000005</v>
      </c>
      <c r="AV22" s="144">
        <v>7.32</v>
      </c>
      <c r="AW22" s="118">
        <f t="shared" si="23"/>
        <v>11394.800000000001</v>
      </c>
      <c r="AX22" s="118">
        <f t="shared" si="21"/>
        <v>13673.76</v>
      </c>
      <c r="AY22" s="119">
        <f t="shared" si="22"/>
        <v>32481.200000000004</v>
      </c>
      <c r="AZ22" s="120">
        <f t="shared" si="24"/>
        <v>38977.440000000002</v>
      </c>
      <c r="BA22" s="146"/>
      <c r="BB22" s="147"/>
      <c r="BC22" s="147"/>
      <c r="BD22" s="9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5"/>
      <c r="CL22" s="35"/>
      <c r="CM22" s="35"/>
      <c r="CN22" s="35"/>
      <c r="CO22" s="35"/>
    </row>
    <row r="23" spans="1:93" s="4" customFormat="1" ht="274.5" outlineLevel="1" x14ac:dyDescent="0.25">
      <c r="A23" s="111">
        <f t="shared" si="25"/>
        <v>11</v>
      </c>
      <c r="B23" s="112" t="s">
        <v>16</v>
      </c>
      <c r="C23" s="113" t="s">
        <v>54</v>
      </c>
      <c r="D23" s="114" t="s">
        <v>19</v>
      </c>
      <c r="E23" s="115">
        <f t="shared" si="0"/>
        <v>54.74</v>
      </c>
      <c r="F23" s="116">
        <v>0</v>
      </c>
      <c r="G23" s="116">
        <f t="shared" si="1"/>
        <v>16.666666666666668</v>
      </c>
      <c r="H23" s="116">
        <v>20</v>
      </c>
      <c r="I23" s="116">
        <f t="shared" si="2"/>
        <v>0</v>
      </c>
      <c r="J23" s="115">
        <v>54.74</v>
      </c>
      <c r="K23" s="116">
        <f t="shared" si="3"/>
        <v>12.916666666666668</v>
      </c>
      <c r="L23" s="116">
        <v>15.5</v>
      </c>
      <c r="M23" s="116">
        <f t="shared" si="4"/>
        <v>848.47</v>
      </c>
      <c r="N23" s="117">
        <v>0</v>
      </c>
      <c r="O23" s="116">
        <f t="shared" si="5"/>
        <v>4.666666666666667</v>
      </c>
      <c r="P23" s="116">
        <v>5.6</v>
      </c>
      <c r="Q23" s="116">
        <f t="shared" si="6"/>
        <v>0</v>
      </c>
      <c r="R23" s="115">
        <v>0</v>
      </c>
      <c r="S23" s="116">
        <f t="shared" si="26"/>
        <v>15.583333333333334</v>
      </c>
      <c r="T23" s="116">
        <v>18.7</v>
      </c>
      <c r="U23" s="116">
        <f t="shared" si="7"/>
        <v>0</v>
      </c>
      <c r="V23" s="116">
        <v>0</v>
      </c>
      <c r="W23" s="116">
        <f t="shared" si="8"/>
        <v>6.416666666666667</v>
      </c>
      <c r="X23" s="116">
        <v>7.7</v>
      </c>
      <c r="Y23" s="116">
        <f t="shared" si="9"/>
        <v>0</v>
      </c>
      <c r="Z23" s="115">
        <v>0</v>
      </c>
      <c r="AA23" s="116">
        <f t="shared" si="10"/>
        <v>6</v>
      </c>
      <c r="AB23" s="116">
        <v>7.2</v>
      </c>
      <c r="AC23" s="116">
        <f t="shared" si="11"/>
        <v>0</v>
      </c>
      <c r="AD23" s="116">
        <v>0</v>
      </c>
      <c r="AE23" s="116">
        <f t="shared" si="12"/>
        <v>4.666666666666667</v>
      </c>
      <c r="AF23" s="116">
        <v>5.6</v>
      </c>
      <c r="AG23" s="116">
        <f t="shared" si="13"/>
        <v>0</v>
      </c>
      <c r="AH23" s="117">
        <v>0</v>
      </c>
      <c r="AI23" s="116">
        <f t="shared" si="14"/>
        <v>8.3333333333333339</v>
      </c>
      <c r="AJ23" s="116">
        <v>10</v>
      </c>
      <c r="AK23" s="116">
        <f t="shared" si="15"/>
        <v>0</v>
      </c>
      <c r="AL23" s="117">
        <v>0</v>
      </c>
      <c r="AM23" s="116">
        <f t="shared" si="16"/>
        <v>12.750000000000002</v>
      </c>
      <c r="AN23" s="116">
        <v>15.3</v>
      </c>
      <c r="AO23" s="116">
        <f t="shared" si="17"/>
        <v>0</v>
      </c>
      <c r="AP23" s="116">
        <f t="shared" si="18"/>
        <v>707.05833333333339</v>
      </c>
      <c r="AQ23" s="116">
        <f t="shared" si="19"/>
        <v>848.47</v>
      </c>
      <c r="AR23" s="117">
        <v>0</v>
      </c>
      <c r="AS23" s="116" t="s">
        <v>210</v>
      </c>
      <c r="AT23" s="118">
        <v>0</v>
      </c>
      <c r="AU23" s="118">
        <f t="shared" si="20"/>
        <v>6.1000000000000005</v>
      </c>
      <c r="AV23" s="144">
        <v>7.32</v>
      </c>
      <c r="AW23" s="118">
        <f t="shared" si="23"/>
        <v>0</v>
      </c>
      <c r="AX23" s="118">
        <f t="shared" si="21"/>
        <v>0</v>
      </c>
      <c r="AY23" s="119">
        <f t="shared" si="22"/>
        <v>707.05833333333339</v>
      </c>
      <c r="AZ23" s="120">
        <f t="shared" si="24"/>
        <v>848.47</v>
      </c>
      <c r="BA23" s="9"/>
      <c r="BB23" s="9"/>
      <c r="BC23" s="9"/>
      <c r="BD23" s="9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5"/>
      <c r="CL23" s="35"/>
      <c r="CM23" s="35"/>
      <c r="CN23" s="35"/>
      <c r="CO23" s="35"/>
    </row>
    <row r="24" spans="1:93" s="4" customFormat="1" ht="274.5" outlineLevel="1" x14ac:dyDescent="0.25">
      <c r="A24" s="111">
        <f t="shared" si="25"/>
        <v>12</v>
      </c>
      <c r="B24" s="112" t="s">
        <v>16</v>
      </c>
      <c r="C24" s="113" t="s">
        <v>51</v>
      </c>
      <c r="D24" s="114" t="s">
        <v>19</v>
      </c>
      <c r="E24" s="115">
        <f t="shared" si="0"/>
        <v>761.49999999999989</v>
      </c>
      <c r="F24" s="116">
        <v>0</v>
      </c>
      <c r="G24" s="116">
        <f t="shared" si="1"/>
        <v>16.666666666666668</v>
      </c>
      <c r="H24" s="116">
        <v>20</v>
      </c>
      <c r="I24" s="116">
        <f t="shared" si="2"/>
        <v>0</v>
      </c>
      <c r="J24" s="115">
        <v>151.30000000000001</v>
      </c>
      <c r="K24" s="116">
        <f t="shared" si="3"/>
        <v>12.916666666666668</v>
      </c>
      <c r="L24" s="116">
        <v>15.5</v>
      </c>
      <c r="M24" s="116">
        <f t="shared" si="4"/>
        <v>2345.15</v>
      </c>
      <c r="N24" s="117">
        <v>281.7</v>
      </c>
      <c r="O24" s="116">
        <f t="shared" si="5"/>
        <v>4.666666666666667</v>
      </c>
      <c r="P24" s="116">
        <v>5.6</v>
      </c>
      <c r="Q24" s="116">
        <f t="shared" si="6"/>
        <v>1577.5199999999998</v>
      </c>
      <c r="R24" s="115">
        <v>0</v>
      </c>
      <c r="S24" s="116">
        <f t="shared" si="26"/>
        <v>15.583333333333334</v>
      </c>
      <c r="T24" s="116">
        <v>18.7</v>
      </c>
      <c r="U24" s="116">
        <f t="shared" si="7"/>
        <v>0</v>
      </c>
      <c r="V24" s="116">
        <v>23</v>
      </c>
      <c r="W24" s="116">
        <f t="shared" si="8"/>
        <v>6.416666666666667</v>
      </c>
      <c r="X24" s="116">
        <v>7.7</v>
      </c>
      <c r="Y24" s="116">
        <f t="shared" si="9"/>
        <v>177.1</v>
      </c>
      <c r="Z24" s="115">
        <v>97.3</v>
      </c>
      <c r="AA24" s="116">
        <f t="shared" si="10"/>
        <v>6</v>
      </c>
      <c r="AB24" s="116">
        <v>7.2</v>
      </c>
      <c r="AC24" s="116">
        <f t="shared" si="11"/>
        <v>700.56</v>
      </c>
      <c r="AD24" s="116">
        <v>0</v>
      </c>
      <c r="AE24" s="116">
        <f t="shared" si="12"/>
        <v>4.666666666666667</v>
      </c>
      <c r="AF24" s="116">
        <v>5.6</v>
      </c>
      <c r="AG24" s="116">
        <f t="shared" si="13"/>
        <v>0</v>
      </c>
      <c r="AH24" s="117">
        <v>176.4</v>
      </c>
      <c r="AI24" s="116">
        <f t="shared" si="14"/>
        <v>8.3333333333333339</v>
      </c>
      <c r="AJ24" s="116">
        <v>10</v>
      </c>
      <c r="AK24" s="116">
        <f t="shared" si="15"/>
        <v>1764</v>
      </c>
      <c r="AL24" s="117">
        <f>10.3+21.5</f>
        <v>31.8</v>
      </c>
      <c r="AM24" s="116">
        <f t="shared" si="16"/>
        <v>12.750000000000002</v>
      </c>
      <c r="AN24" s="116">
        <v>15.3</v>
      </c>
      <c r="AO24" s="116">
        <f t="shared" si="17"/>
        <v>486.54</v>
      </c>
      <c r="AP24" s="116">
        <f t="shared" si="18"/>
        <v>5875.7250000000004</v>
      </c>
      <c r="AQ24" s="116">
        <f t="shared" si="19"/>
        <v>7050.87</v>
      </c>
      <c r="AR24" s="117">
        <v>730.1</v>
      </c>
      <c r="AS24" s="116" t="s">
        <v>210</v>
      </c>
      <c r="AT24" s="118">
        <v>0</v>
      </c>
      <c r="AU24" s="118">
        <f t="shared" si="20"/>
        <v>6.1000000000000005</v>
      </c>
      <c r="AV24" s="144">
        <v>7.32</v>
      </c>
      <c r="AW24" s="118">
        <f t="shared" si="23"/>
        <v>4453.6100000000006</v>
      </c>
      <c r="AX24" s="118">
        <f t="shared" si="21"/>
        <v>5344.3320000000003</v>
      </c>
      <c r="AY24" s="119">
        <f t="shared" si="22"/>
        <v>10329.335000000001</v>
      </c>
      <c r="AZ24" s="120">
        <f t="shared" si="24"/>
        <v>12395.202000000001</v>
      </c>
      <c r="BA24" s="9"/>
      <c r="BB24" s="9"/>
      <c r="BC24" s="9"/>
      <c r="BD24" s="9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5"/>
      <c r="CL24" s="35"/>
      <c r="CM24" s="35"/>
      <c r="CN24" s="35"/>
      <c r="CO24" s="35"/>
    </row>
    <row r="25" spans="1:93" s="4" customFormat="1" ht="274.5" outlineLevel="1" x14ac:dyDescent="0.25">
      <c r="A25" s="111">
        <v>13</v>
      </c>
      <c r="B25" s="112" t="s">
        <v>16</v>
      </c>
      <c r="C25" s="113" t="s">
        <v>206</v>
      </c>
      <c r="D25" s="114" t="s">
        <v>19</v>
      </c>
      <c r="E25" s="115">
        <f t="shared" si="0"/>
        <v>2116.9</v>
      </c>
      <c r="F25" s="116">
        <v>0</v>
      </c>
      <c r="G25" s="116">
        <f t="shared" si="1"/>
        <v>16.666666666666668</v>
      </c>
      <c r="H25" s="116">
        <v>20</v>
      </c>
      <c r="I25" s="116">
        <f t="shared" si="2"/>
        <v>0</v>
      </c>
      <c r="J25" s="115">
        <v>434.9</v>
      </c>
      <c r="K25" s="116">
        <f t="shared" si="3"/>
        <v>12.916666666666668</v>
      </c>
      <c r="L25" s="116">
        <v>15.5</v>
      </c>
      <c r="M25" s="116">
        <f t="shared" si="4"/>
        <v>6740.95</v>
      </c>
      <c r="N25" s="117">
        <v>0</v>
      </c>
      <c r="O25" s="116">
        <f t="shared" si="5"/>
        <v>4.666666666666667</v>
      </c>
      <c r="P25" s="116">
        <v>5.6</v>
      </c>
      <c r="Q25" s="116">
        <f t="shared" si="6"/>
        <v>0</v>
      </c>
      <c r="R25" s="115">
        <v>0</v>
      </c>
      <c r="S25" s="116">
        <f t="shared" si="26"/>
        <v>15.583333333333334</v>
      </c>
      <c r="T25" s="116">
        <v>18.7</v>
      </c>
      <c r="U25" s="116">
        <f t="shared" si="7"/>
        <v>0</v>
      </c>
      <c r="V25" s="116">
        <v>1107.3</v>
      </c>
      <c r="W25" s="116">
        <f t="shared" si="8"/>
        <v>6.416666666666667</v>
      </c>
      <c r="X25" s="116">
        <v>7.7</v>
      </c>
      <c r="Y25" s="116">
        <f t="shared" si="9"/>
        <v>8526.2099999999991</v>
      </c>
      <c r="Z25" s="115">
        <v>24.6</v>
      </c>
      <c r="AA25" s="116">
        <f t="shared" si="10"/>
        <v>6</v>
      </c>
      <c r="AB25" s="116">
        <v>7.2</v>
      </c>
      <c r="AC25" s="116">
        <f t="shared" si="11"/>
        <v>177.12</v>
      </c>
      <c r="AD25" s="116">
        <v>0</v>
      </c>
      <c r="AE25" s="116">
        <f t="shared" si="12"/>
        <v>4.666666666666667</v>
      </c>
      <c r="AF25" s="116">
        <v>5.6</v>
      </c>
      <c r="AG25" s="116">
        <f t="shared" si="13"/>
        <v>0</v>
      </c>
      <c r="AH25" s="117">
        <v>521.20000000000005</v>
      </c>
      <c r="AI25" s="116">
        <f t="shared" si="14"/>
        <v>8.3333333333333339</v>
      </c>
      <c r="AJ25" s="116">
        <v>10</v>
      </c>
      <c r="AK25" s="116">
        <f t="shared" si="15"/>
        <v>5212</v>
      </c>
      <c r="AL25" s="117">
        <v>28.9</v>
      </c>
      <c r="AM25" s="116">
        <f t="shared" si="16"/>
        <v>12.750000000000002</v>
      </c>
      <c r="AN25" s="116">
        <v>15.3</v>
      </c>
      <c r="AO25" s="116">
        <f t="shared" si="17"/>
        <v>442.17</v>
      </c>
      <c r="AP25" s="116">
        <f t="shared" si="18"/>
        <v>17582.041666666664</v>
      </c>
      <c r="AQ25" s="116">
        <f t="shared" si="19"/>
        <v>21098.449999999997</v>
      </c>
      <c r="AR25" s="117">
        <v>4157.2</v>
      </c>
      <c r="AS25" s="116" t="s">
        <v>210</v>
      </c>
      <c r="AT25" s="118">
        <v>0</v>
      </c>
      <c r="AU25" s="118">
        <f t="shared" si="20"/>
        <v>6.1000000000000005</v>
      </c>
      <c r="AV25" s="144">
        <v>7.32</v>
      </c>
      <c r="AW25" s="118">
        <f t="shared" si="23"/>
        <v>25358.920000000002</v>
      </c>
      <c r="AX25" s="118">
        <f t="shared" si="21"/>
        <v>30430.704000000002</v>
      </c>
      <c r="AY25" s="119">
        <f t="shared" si="22"/>
        <v>42940.96166666667</v>
      </c>
      <c r="AZ25" s="120">
        <f t="shared" si="24"/>
        <v>51529.153999999995</v>
      </c>
      <c r="BA25" s="9"/>
      <c r="BB25" s="9"/>
      <c r="BC25" s="9"/>
      <c r="BD25" s="9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5"/>
      <c r="CL25" s="35"/>
      <c r="CM25" s="35"/>
      <c r="CN25" s="35"/>
      <c r="CO25" s="35"/>
    </row>
    <row r="26" spans="1:93" s="4" customFormat="1" ht="90" outlineLevel="1" x14ac:dyDescent="0.25">
      <c r="A26" s="111"/>
      <c r="B26" s="121" t="s">
        <v>218</v>
      </c>
      <c r="C26" s="113"/>
      <c r="D26" s="114"/>
      <c r="E26" s="115"/>
      <c r="F26" s="116"/>
      <c r="G26" s="116"/>
      <c r="H26" s="116"/>
      <c r="I26" s="116"/>
      <c r="J26" s="115"/>
      <c r="K26" s="116"/>
      <c r="L26" s="116"/>
      <c r="M26" s="116"/>
      <c r="N26" s="117"/>
      <c r="O26" s="116"/>
      <c r="P26" s="116"/>
      <c r="Q26" s="116"/>
      <c r="R26" s="115"/>
      <c r="S26" s="116"/>
      <c r="T26" s="116"/>
      <c r="U26" s="116"/>
      <c r="V26" s="116"/>
      <c r="W26" s="116"/>
      <c r="X26" s="116"/>
      <c r="Y26" s="116"/>
      <c r="Z26" s="115"/>
      <c r="AA26" s="116"/>
      <c r="AB26" s="116"/>
      <c r="AC26" s="116"/>
      <c r="AD26" s="116"/>
      <c r="AE26" s="116"/>
      <c r="AF26" s="116"/>
      <c r="AG26" s="116"/>
      <c r="AH26" s="117"/>
      <c r="AI26" s="116"/>
      <c r="AJ26" s="116"/>
      <c r="AK26" s="116"/>
      <c r="AL26" s="117"/>
      <c r="AM26" s="116"/>
      <c r="AN26" s="116"/>
      <c r="AO26" s="116"/>
      <c r="AP26" s="116"/>
      <c r="AQ26" s="116"/>
      <c r="AR26" s="117"/>
      <c r="AS26" s="116"/>
      <c r="AT26" s="118"/>
      <c r="AU26" s="118"/>
      <c r="AV26" s="144"/>
      <c r="AW26" s="118"/>
      <c r="AX26" s="118"/>
      <c r="AY26" s="119"/>
      <c r="AZ26" s="120"/>
      <c r="BA26" s="9"/>
      <c r="BB26" s="9"/>
      <c r="BC26" s="9"/>
      <c r="BD26" s="9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5"/>
      <c r="CL26" s="35"/>
      <c r="CM26" s="35"/>
      <c r="CN26" s="35"/>
      <c r="CO26" s="35"/>
    </row>
    <row r="27" spans="1:93" s="4" customFormat="1" ht="320.25" outlineLevel="1" x14ac:dyDescent="0.25">
      <c r="A27" s="111">
        <v>14</v>
      </c>
      <c r="B27" s="112" t="s">
        <v>217</v>
      </c>
      <c r="C27" s="113" t="s">
        <v>220</v>
      </c>
      <c r="D27" s="114" t="s">
        <v>19</v>
      </c>
      <c r="E27" s="115">
        <f t="shared" si="0"/>
        <v>534.69999999999993</v>
      </c>
      <c r="F27" s="116">
        <v>0</v>
      </c>
      <c r="G27" s="116">
        <f t="shared" si="1"/>
        <v>16.666666666666668</v>
      </c>
      <c r="H27" s="116">
        <v>20</v>
      </c>
      <c r="I27" s="116">
        <f t="shared" si="2"/>
        <v>0</v>
      </c>
      <c r="J27" s="115">
        <v>141.30000000000001</v>
      </c>
      <c r="K27" s="116">
        <f t="shared" si="3"/>
        <v>12.916666666666668</v>
      </c>
      <c r="L27" s="116">
        <v>15.5</v>
      </c>
      <c r="M27" s="116">
        <f t="shared" si="4"/>
        <v>2190.15</v>
      </c>
      <c r="N27" s="117">
        <v>99.7</v>
      </c>
      <c r="O27" s="116">
        <f t="shared" si="5"/>
        <v>4.666666666666667</v>
      </c>
      <c r="P27" s="116">
        <v>5.6</v>
      </c>
      <c r="Q27" s="116">
        <f t="shared" si="6"/>
        <v>558.31999999999994</v>
      </c>
      <c r="R27" s="115">
        <v>0</v>
      </c>
      <c r="S27" s="116">
        <f t="shared" si="26"/>
        <v>15.583333333333334</v>
      </c>
      <c r="T27" s="116">
        <v>18.7</v>
      </c>
      <c r="U27" s="116">
        <f t="shared" si="7"/>
        <v>0</v>
      </c>
      <c r="V27" s="116">
        <v>23</v>
      </c>
      <c r="W27" s="116">
        <f t="shared" si="8"/>
        <v>6.416666666666667</v>
      </c>
      <c r="X27" s="116">
        <v>7.7</v>
      </c>
      <c r="Y27" s="116">
        <f t="shared" si="9"/>
        <v>177.1</v>
      </c>
      <c r="Z27" s="115">
        <v>0</v>
      </c>
      <c r="AA27" s="116">
        <f t="shared" si="10"/>
        <v>6</v>
      </c>
      <c r="AB27" s="116">
        <v>7.2</v>
      </c>
      <c r="AC27" s="116">
        <f t="shared" si="11"/>
        <v>0</v>
      </c>
      <c r="AD27" s="116">
        <v>0</v>
      </c>
      <c r="AE27" s="116">
        <f t="shared" si="12"/>
        <v>4.666666666666667</v>
      </c>
      <c r="AF27" s="116">
        <v>5.6</v>
      </c>
      <c r="AG27" s="116">
        <f t="shared" si="13"/>
        <v>0</v>
      </c>
      <c r="AH27" s="117">
        <v>250.8</v>
      </c>
      <c r="AI27" s="116">
        <f t="shared" si="14"/>
        <v>8.3333333333333339</v>
      </c>
      <c r="AJ27" s="116">
        <v>10</v>
      </c>
      <c r="AK27" s="116">
        <f t="shared" si="15"/>
        <v>2508</v>
      </c>
      <c r="AL27" s="117">
        <v>19.899999999999999</v>
      </c>
      <c r="AM27" s="116">
        <f t="shared" si="16"/>
        <v>12.750000000000002</v>
      </c>
      <c r="AN27" s="116">
        <v>15.3</v>
      </c>
      <c r="AO27" s="116">
        <f t="shared" si="17"/>
        <v>304.46999999999997</v>
      </c>
      <c r="AP27" s="116">
        <f t="shared" si="18"/>
        <v>4781.7</v>
      </c>
      <c r="AQ27" s="116">
        <f t="shared" si="19"/>
        <v>5738.04</v>
      </c>
      <c r="AR27" s="117">
        <v>147</v>
      </c>
      <c r="AS27" s="116" t="s">
        <v>210</v>
      </c>
      <c r="AT27" s="118">
        <v>0</v>
      </c>
      <c r="AU27" s="118">
        <f t="shared" si="20"/>
        <v>6.1000000000000005</v>
      </c>
      <c r="AV27" s="144">
        <v>7.32</v>
      </c>
      <c r="AW27" s="118">
        <f t="shared" si="23"/>
        <v>896.7</v>
      </c>
      <c r="AX27" s="118">
        <f t="shared" si="21"/>
        <v>1076.04</v>
      </c>
      <c r="AY27" s="119">
        <f t="shared" si="22"/>
        <v>5678.4</v>
      </c>
      <c r="AZ27" s="120">
        <f t="shared" si="24"/>
        <v>6814.08</v>
      </c>
      <c r="BA27" s="9"/>
      <c r="BB27" s="9"/>
      <c r="BC27" s="9"/>
      <c r="BD27" s="9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5"/>
      <c r="CL27" s="35"/>
      <c r="CM27" s="35"/>
      <c r="CN27" s="35"/>
      <c r="CO27" s="35"/>
    </row>
    <row r="28" spans="1:93" s="4" customFormat="1" ht="274.5" outlineLevel="1" x14ac:dyDescent="0.25">
      <c r="A28" s="111">
        <f t="shared" ref="A28:A37" si="65">A27+1</f>
        <v>15</v>
      </c>
      <c r="B28" s="112" t="s">
        <v>217</v>
      </c>
      <c r="C28" s="113" t="s">
        <v>219</v>
      </c>
      <c r="D28" s="114" t="s">
        <v>19</v>
      </c>
      <c r="E28" s="115">
        <f t="shared" si="0"/>
        <v>376</v>
      </c>
      <c r="F28" s="116">
        <v>0</v>
      </c>
      <c r="G28" s="116">
        <f t="shared" si="1"/>
        <v>16.666666666666668</v>
      </c>
      <c r="H28" s="116">
        <v>20</v>
      </c>
      <c r="I28" s="116">
        <f t="shared" si="2"/>
        <v>0</v>
      </c>
      <c r="J28" s="115">
        <v>0</v>
      </c>
      <c r="K28" s="116">
        <f t="shared" si="3"/>
        <v>12.916666666666668</v>
      </c>
      <c r="L28" s="116">
        <v>15.5</v>
      </c>
      <c r="M28" s="116">
        <f t="shared" si="4"/>
        <v>0</v>
      </c>
      <c r="N28" s="117">
        <v>210</v>
      </c>
      <c r="O28" s="116">
        <f t="shared" si="5"/>
        <v>4.666666666666667</v>
      </c>
      <c r="P28" s="116">
        <v>5.6</v>
      </c>
      <c r="Q28" s="116">
        <f t="shared" si="6"/>
        <v>1176</v>
      </c>
      <c r="R28" s="115">
        <v>0</v>
      </c>
      <c r="S28" s="116">
        <f t="shared" si="26"/>
        <v>15.583333333333334</v>
      </c>
      <c r="T28" s="116">
        <v>18.7</v>
      </c>
      <c r="U28" s="116">
        <f t="shared" si="7"/>
        <v>0</v>
      </c>
      <c r="V28" s="116">
        <v>10.8</v>
      </c>
      <c r="W28" s="116">
        <f t="shared" si="8"/>
        <v>6.416666666666667</v>
      </c>
      <c r="X28" s="116">
        <v>7.7</v>
      </c>
      <c r="Y28" s="116">
        <f t="shared" si="9"/>
        <v>83.160000000000011</v>
      </c>
      <c r="Z28" s="115">
        <v>0</v>
      </c>
      <c r="AA28" s="116">
        <f t="shared" si="10"/>
        <v>6</v>
      </c>
      <c r="AB28" s="116">
        <v>7.2</v>
      </c>
      <c r="AC28" s="116">
        <f t="shared" si="11"/>
        <v>0</v>
      </c>
      <c r="AD28" s="116">
        <v>0</v>
      </c>
      <c r="AE28" s="116">
        <f t="shared" si="12"/>
        <v>4.666666666666667</v>
      </c>
      <c r="AF28" s="116">
        <v>5.6</v>
      </c>
      <c r="AG28" s="116">
        <f t="shared" si="13"/>
        <v>0</v>
      </c>
      <c r="AH28" s="117">
        <v>149.19999999999999</v>
      </c>
      <c r="AI28" s="116">
        <f t="shared" si="14"/>
        <v>8.3333333333333339</v>
      </c>
      <c r="AJ28" s="116">
        <v>10</v>
      </c>
      <c r="AK28" s="116">
        <f t="shared" si="15"/>
        <v>1492</v>
      </c>
      <c r="AL28" s="117">
        <v>6</v>
      </c>
      <c r="AM28" s="116">
        <f t="shared" si="16"/>
        <v>12.750000000000002</v>
      </c>
      <c r="AN28" s="116">
        <v>15.3</v>
      </c>
      <c r="AO28" s="116">
        <f t="shared" si="17"/>
        <v>91.800000000000011</v>
      </c>
      <c r="AP28" s="116">
        <f t="shared" si="18"/>
        <v>2369.1333333333337</v>
      </c>
      <c r="AQ28" s="116">
        <f t="shared" si="19"/>
        <v>2842.96</v>
      </c>
      <c r="AR28" s="117">
        <v>200</v>
      </c>
      <c r="AS28" s="116" t="s">
        <v>210</v>
      </c>
      <c r="AT28" s="118">
        <v>0</v>
      </c>
      <c r="AU28" s="118">
        <f t="shared" si="20"/>
        <v>6.1000000000000005</v>
      </c>
      <c r="AV28" s="144">
        <v>7.32</v>
      </c>
      <c r="AW28" s="118">
        <f t="shared" si="23"/>
        <v>1220</v>
      </c>
      <c r="AX28" s="118">
        <f t="shared" si="21"/>
        <v>1464</v>
      </c>
      <c r="AY28" s="119">
        <f t="shared" si="22"/>
        <v>3589.1333333333337</v>
      </c>
      <c r="AZ28" s="120">
        <f t="shared" si="24"/>
        <v>4306.96</v>
      </c>
      <c r="BA28" s="9"/>
      <c r="BB28" s="9"/>
      <c r="BC28" s="9"/>
      <c r="BD28" s="9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5"/>
      <c r="CL28" s="35"/>
      <c r="CM28" s="35"/>
      <c r="CN28" s="35"/>
      <c r="CO28" s="35"/>
    </row>
    <row r="29" spans="1:93" s="4" customFormat="1" ht="228.75" outlineLevel="1" x14ac:dyDescent="0.25">
      <c r="A29" s="111">
        <f t="shared" si="65"/>
        <v>16</v>
      </c>
      <c r="B29" s="112" t="s">
        <v>217</v>
      </c>
      <c r="C29" s="113" t="s">
        <v>221</v>
      </c>
      <c r="D29" s="114" t="s">
        <v>19</v>
      </c>
      <c r="E29" s="115">
        <f t="shared" si="0"/>
        <v>535.49999999999989</v>
      </c>
      <c r="F29" s="116">
        <v>0</v>
      </c>
      <c r="G29" s="116">
        <f t="shared" si="1"/>
        <v>16.666666666666668</v>
      </c>
      <c r="H29" s="116">
        <v>20</v>
      </c>
      <c r="I29" s="116">
        <f t="shared" si="2"/>
        <v>0</v>
      </c>
      <c r="J29" s="115">
        <v>202.4</v>
      </c>
      <c r="K29" s="116">
        <f t="shared" si="3"/>
        <v>12.916666666666668</v>
      </c>
      <c r="L29" s="116">
        <v>15.5</v>
      </c>
      <c r="M29" s="116">
        <f t="shared" si="4"/>
        <v>3137.2000000000003</v>
      </c>
      <c r="N29" s="117">
        <v>44.8</v>
      </c>
      <c r="O29" s="116">
        <f t="shared" si="5"/>
        <v>4.666666666666667</v>
      </c>
      <c r="P29" s="116">
        <v>5.6</v>
      </c>
      <c r="Q29" s="116">
        <f t="shared" si="6"/>
        <v>250.87999999999997</v>
      </c>
      <c r="R29" s="115">
        <v>0</v>
      </c>
      <c r="S29" s="116">
        <f t="shared" si="26"/>
        <v>15.583333333333334</v>
      </c>
      <c r="T29" s="116">
        <v>18.7</v>
      </c>
      <c r="U29" s="116">
        <f t="shared" si="7"/>
        <v>0</v>
      </c>
      <c r="V29" s="116">
        <v>79.599999999999994</v>
      </c>
      <c r="W29" s="116">
        <f t="shared" si="8"/>
        <v>6.416666666666667</v>
      </c>
      <c r="X29" s="116">
        <v>7.7</v>
      </c>
      <c r="Y29" s="116">
        <f t="shared" si="9"/>
        <v>612.91999999999996</v>
      </c>
      <c r="Z29" s="115">
        <v>85.7</v>
      </c>
      <c r="AA29" s="116">
        <f t="shared" si="10"/>
        <v>6</v>
      </c>
      <c r="AB29" s="116">
        <v>7.2</v>
      </c>
      <c r="AC29" s="116">
        <f t="shared" si="11"/>
        <v>617.04000000000008</v>
      </c>
      <c r="AD29" s="116">
        <v>0</v>
      </c>
      <c r="AE29" s="116">
        <f t="shared" si="12"/>
        <v>4.666666666666667</v>
      </c>
      <c r="AF29" s="116">
        <v>5.6</v>
      </c>
      <c r="AG29" s="116">
        <f t="shared" si="13"/>
        <v>0</v>
      </c>
      <c r="AH29" s="117">
        <v>117.1</v>
      </c>
      <c r="AI29" s="116">
        <f t="shared" si="14"/>
        <v>8.3333333333333339</v>
      </c>
      <c r="AJ29" s="116">
        <v>10</v>
      </c>
      <c r="AK29" s="116">
        <f t="shared" si="15"/>
        <v>1171</v>
      </c>
      <c r="AL29" s="117">
        <v>5.9</v>
      </c>
      <c r="AM29" s="116">
        <f t="shared" si="16"/>
        <v>12.750000000000002</v>
      </c>
      <c r="AN29" s="116">
        <v>15.3</v>
      </c>
      <c r="AO29" s="116">
        <f t="shared" si="17"/>
        <v>90.27000000000001</v>
      </c>
      <c r="AP29" s="116">
        <f t="shared" si="18"/>
        <v>4899.4250000000011</v>
      </c>
      <c r="AQ29" s="116">
        <f t="shared" si="19"/>
        <v>5879.3100000000013</v>
      </c>
      <c r="AR29" s="117">
        <v>306</v>
      </c>
      <c r="AS29" s="116" t="s">
        <v>210</v>
      </c>
      <c r="AT29" s="118">
        <v>0</v>
      </c>
      <c r="AU29" s="118">
        <f t="shared" si="20"/>
        <v>6.1000000000000005</v>
      </c>
      <c r="AV29" s="144">
        <v>7.32</v>
      </c>
      <c r="AW29" s="118">
        <f t="shared" si="23"/>
        <v>1866.6000000000001</v>
      </c>
      <c r="AX29" s="118">
        <f t="shared" si="21"/>
        <v>2239.92</v>
      </c>
      <c r="AY29" s="119">
        <f t="shared" si="22"/>
        <v>6766.0250000000015</v>
      </c>
      <c r="AZ29" s="120">
        <f t="shared" si="24"/>
        <v>8119.2300000000014</v>
      </c>
      <c r="BA29" s="9"/>
      <c r="BB29" s="9"/>
      <c r="BC29" s="9"/>
      <c r="BD29" s="9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5"/>
      <c r="CL29" s="35"/>
      <c r="CM29" s="35"/>
      <c r="CN29" s="35"/>
      <c r="CO29" s="35"/>
    </row>
    <row r="30" spans="1:93" s="4" customFormat="1" ht="366" outlineLevel="1" x14ac:dyDescent="0.25">
      <c r="A30" s="111">
        <f t="shared" si="65"/>
        <v>17</v>
      </c>
      <c r="B30" s="112" t="s">
        <v>217</v>
      </c>
      <c r="C30" s="122" t="s">
        <v>222</v>
      </c>
      <c r="D30" s="114" t="s">
        <v>19</v>
      </c>
      <c r="E30" s="115">
        <f t="shared" si="0"/>
        <v>406.5</v>
      </c>
      <c r="F30" s="116">
        <v>0</v>
      </c>
      <c r="G30" s="116">
        <f t="shared" si="1"/>
        <v>16.666666666666668</v>
      </c>
      <c r="H30" s="116">
        <v>20</v>
      </c>
      <c r="I30" s="116">
        <f t="shared" si="2"/>
        <v>0</v>
      </c>
      <c r="J30" s="115">
        <v>89.9</v>
      </c>
      <c r="K30" s="116">
        <f t="shared" si="3"/>
        <v>12.916666666666668</v>
      </c>
      <c r="L30" s="116">
        <v>15.5</v>
      </c>
      <c r="M30" s="116">
        <f t="shared" si="4"/>
        <v>1393.45</v>
      </c>
      <c r="N30" s="117">
        <v>22.8</v>
      </c>
      <c r="O30" s="116">
        <f t="shared" si="5"/>
        <v>4.666666666666667</v>
      </c>
      <c r="P30" s="116">
        <v>5.6</v>
      </c>
      <c r="Q30" s="116">
        <f t="shared" si="6"/>
        <v>127.67999999999999</v>
      </c>
      <c r="R30" s="115">
        <v>0</v>
      </c>
      <c r="S30" s="116">
        <f t="shared" si="26"/>
        <v>15.583333333333334</v>
      </c>
      <c r="T30" s="116">
        <v>18.7</v>
      </c>
      <c r="U30" s="116">
        <f t="shared" si="7"/>
        <v>0</v>
      </c>
      <c r="V30" s="116">
        <v>56.3</v>
      </c>
      <c r="W30" s="116">
        <f t="shared" si="8"/>
        <v>6.416666666666667</v>
      </c>
      <c r="X30" s="116">
        <v>7.7</v>
      </c>
      <c r="Y30" s="116">
        <f t="shared" si="9"/>
        <v>433.51</v>
      </c>
      <c r="Z30" s="115">
        <v>50.4</v>
      </c>
      <c r="AA30" s="116">
        <f t="shared" si="10"/>
        <v>6</v>
      </c>
      <c r="AB30" s="116">
        <v>7.2</v>
      </c>
      <c r="AC30" s="116">
        <f t="shared" si="11"/>
        <v>362.88</v>
      </c>
      <c r="AD30" s="116">
        <v>0</v>
      </c>
      <c r="AE30" s="116">
        <f t="shared" si="12"/>
        <v>4.666666666666667</v>
      </c>
      <c r="AF30" s="116">
        <v>5.6</v>
      </c>
      <c r="AG30" s="116">
        <f t="shared" si="13"/>
        <v>0</v>
      </c>
      <c r="AH30" s="117">
        <v>184.9</v>
      </c>
      <c r="AI30" s="116">
        <f t="shared" si="14"/>
        <v>8.3333333333333339</v>
      </c>
      <c r="AJ30" s="116">
        <v>10</v>
      </c>
      <c r="AK30" s="116">
        <f t="shared" si="15"/>
        <v>1849</v>
      </c>
      <c r="AL30" s="117">
        <v>2.2000000000000002</v>
      </c>
      <c r="AM30" s="116">
        <f t="shared" si="16"/>
        <v>12.750000000000002</v>
      </c>
      <c r="AN30" s="116">
        <v>15.3</v>
      </c>
      <c r="AO30" s="116">
        <f t="shared" si="17"/>
        <v>33.660000000000004</v>
      </c>
      <c r="AP30" s="116">
        <f t="shared" si="18"/>
        <v>3500.1500000000005</v>
      </c>
      <c r="AQ30" s="116">
        <f t="shared" si="19"/>
        <v>4200.18</v>
      </c>
      <c r="AR30" s="117">
        <v>359</v>
      </c>
      <c r="AS30" s="116" t="s">
        <v>210</v>
      </c>
      <c r="AT30" s="118">
        <v>0</v>
      </c>
      <c r="AU30" s="118">
        <f t="shared" si="20"/>
        <v>6.1000000000000005</v>
      </c>
      <c r="AV30" s="144">
        <v>7.32</v>
      </c>
      <c r="AW30" s="118">
        <f t="shared" si="23"/>
        <v>2189.9</v>
      </c>
      <c r="AX30" s="118">
        <f t="shared" si="21"/>
        <v>2627.88</v>
      </c>
      <c r="AY30" s="119">
        <f t="shared" si="22"/>
        <v>5690.0500000000011</v>
      </c>
      <c r="AZ30" s="120">
        <f t="shared" si="24"/>
        <v>6828.06</v>
      </c>
      <c r="BA30" s="9"/>
      <c r="BB30" s="9"/>
      <c r="BC30" s="9"/>
      <c r="BD30" s="9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5"/>
      <c r="CL30" s="35"/>
      <c r="CM30" s="35"/>
      <c r="CN30" s="35"/>
      <c r="CO30" s="35"/>
    </row>
    <row r="31" spans="1:93" s="4" customFormat="1" ht="366" outlineLevel="1" x14ac:dyDescent="0.25">
      <c r="A31" s="111">
        <f t="shared" si="65"/>
        <v>18</v>
      </c>
      <c r="B31" s="112" t="s">
        <v>217</v>
      </c>
      <c r="C31" s="122" t="s">
        <v>223</v>
      </c>
      <c r="D31" s="114" t="s">
        <v>19</v>
      </c>
      <c r="E31" s="115">
        <f t="shared" si="0"/>
        <v>26.2</v>
      </c>
      <c r="F31" s="116">
        <v>0</v>
      </c>
      <c r="G31" s="116">
        <f t="shared" si="1"/>
        <v>16.666666666666668</v>
      </c>
      <c r="H31" s="116">
        <v>20</v>
      </c>
      <c r="I31" s="116">
        <f t="shared" si="2"/>
        <v>0</v>
      </c>
      <c r="J31" s="115">
        <v>0</v>
      </c>
      <c r="K31" s="116">
        <f t="shared" si="3"/>
        <v>12.916666666666668</v>
      </c>
      <c r="L31" s="116">
        <v>15.5</v>
      </c>
      <c r="M31" s="116">
        <f t="shared" si="4"/>
        <v>0</v>
      </c>
      <c r="N31" s="117">
        <v>12.6</v>
      </c>
      <c r="O31" s="116">
        <f t="shared" si="5"/>
        <v>4.666666666666667</v>
      </c>
      <c r="P31" s="116">
        <v>5.6</v>
      </c>
      <c r="Q31" s="116">
        <f t="shared" si="6"/>
        <v>70.559999999999988</v>
      </c>
      <c r="R31" s="115">
        <v>0</v>
      </c>
      <c r="S31" s="116">
        <f t="shared" si="26"/>
        <v>15.583333333333334</v>
      </c>
      <c r="T31" s="116">
        <v>18.7</v>
      </c>
      <c r="U31" s="116">
        <f t="shared" si="7"/>
        <v>0</v>
      </c>
      <c r="V31" s="116">
        <v>0</v>
      </c>
      <c r="W31" s="116">
        <f t="shared" si="8"/>
        <v>6.416666666666667</v>
      </c>
      <c r="X31" s="116">
        <v>7.7</v>
      </c>
      <c r="Y31" s="116">
        <f t="shared" si="9"/>
        <v>0</v>
      </c>
      <c r="Z31" s="115">
        <v>13.6</v>
      </c>
      <c r="AA31" s="116">
        <f t="shared" si="10"/>
        <v>6</v>
      </c>
      <c r="AB31" s="116">
        <v>7.2</v>
      </c>
      <c r="AC31" s="116">
        <f t="shared" si="11"/>
        <v>97.92</v>
      </c>
      <c r="AD31" s="116">
        <v>0</v>
      </c>
      <c r="AE31" s="116">
        <f t="shared" si="12"/>
        <v>4.666666666666667</v>
      </c>
      <c r="AF31" s="116">
        <v>5.6</v>
      </c>
      <c r="AG31" s="116">
        <f t="shared" si="13"/>
        <v>0</v>
      </c>
      <c r="AH31" s="117">
        <v>0</v>
      </c>
      <c r="AI31" s="116">
        <f t="shared" si="14"/>
        <v>8.3333333333333339</v>
      </c>
      <c r="AJ31" s="116">
        <v>10</v>
      </c>
      <c r="AK31" s="116">
        <f t="shared" si="15"/>
        <v>0</v>
      </c>
      <c r="AL31" s="117">
        <v>0</v>
      </c>
      <c r="AM31" s="116">
        <f t="shared" si="16"/>
        <v>12.750000000000002</v>
      </c>
      <c r="AN31" s="116">
        <v>15.3</v>
      </c>
      <c r="AO31" s="116">
        <f t="shared" si="17"/>
        <v>0</v>
      </c>
      <c r="AP31" s="116">
        <f t="shared" si="18"/>
        <v>140.4</v>
      </c>
      <c r="AQ31" s="116">
        <f t="shared" si="19"/>
        <v>168.48</v>
      </c>
      <c r="AR31" s="117">
        <v>412</v>
      </c>
      <c r="AS31" s="116" t="s">
        <v>210</v>
      </c>
      <c r="AT31" s="118">
        <v>0</v>
      </c>
      <c r="AU31" s="118">
        <f t="shared" si="20"/>
        <v>6.1000000000000005</v>
      </c>
      <c r="AV31" s="144">
        <v>7.32</v>
      </c>
      <c r="AW31" s="118">
        <f t="shared" si="23"/>
        <v>2513.2000000000003</v>
      </c>
      <c r="AX31" s="118">
        <f t="shared" si="21"/>
        <v>3015.84</v>
      </c>
      <c r="AY31" s="119">
        <f t="shared" si="22"/>
        <v>2653.6000000000004</v>
      </c>
      <c r="AZ31" s="120">
        <f t="shared" si="24"/>
        <v>3184.32</v>
      </c>
      <c r="BA31" s="9"/>
      <c r="BB31" s="9"/>
      <c r="BC31" s="9"/>
      <c r="BD31" s="9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5"/>
      <c r="CL31" s="35"/>
      <c r="CM31" s="35"/>
      <c r="CN31" s="35"/>
      <c r="CO31" s="35"/>
    </row>
    <row r="32" spans="1:93" s="4" customFormat="1" ht="320.25" outlineLevel="1" x14ac:dyDescent="0.25">
      <c r="A32" s="111">
        <f t="shared" si="65"/>
        <v>19</v>
      </c>
      <c r="B32" s="112" t="s">
        <v>217</v>
      </c>
      <c r="C32" s="122" t="s">
        <v>224</v>
      </c>
      <c r="D32" s="114" t="s">
        <v>19</v>
      </c>
      <c r="E32" s="115">
        <f t="shared" si="0"/>
        <v>87.5</v>
      </c>
      <c r="F32" s="116">
        <v>0</v>
      </c>
      <c r="G32" s="116">
        <f t="shared" si="1"/>
        <v>16.666666666666668</v>
      </c>
      <c r="H32" s="116">
        <v>20</v>
      </c>
      <c r="I32" s="116">
        <f t="shared" si="2"/>
        <v>0</v>
      </c>
      <c r="J32" s="115">
        <v>0</v>
      </c>
      <c r="K32" s="116">
        <f t="shared" si="3"/>
        <v>12.916666666666668</v>
      </c>
      <c r="L32" s="116">
        <v>15.5</v>
      </c>
      <c r="M32" s="116">
        <f t="shared" si="4"/>
        <v>0</v>
      </c>
      <c r="N32" s="117">
        <v>30.4</v>
      </c>
      <c r="O32" s="116">
        <f t="shared" si="5"/>
        <v>4.666666666666667</v>
      </c>
      <c r="P32" s="116">
        <v>5.6</v>
      </c>
      <c r="Q32" s="116">
        <f t="shared" si="6"/>
        <v>170.23999999999998</v>
      </c>
      <c r="R32" s="115">
        <v>0</v>
      </c>
      <c r="S32" s="116">
        <f t="shared" si="26"/>
        <v>15.583333333333334</v>
      </c>
      <c r="T32" s="116">
        <v>18.7</v>
      </c>
      <c r="U32" s="116">
        <f t="shared" si="7"/>
        <v>0</v>
      </c>
      <c r="V32" s="116">
        <v>0</v>
      </c>
      <c r="W32" s="116">
        <f t="shared" si="8"/>
        <v>6.416666666666667</v>
      </c>
      <c r="X32" s="116">
        <v>7.7</v>
      </c>
      <c r="Y32" s="116">
        <f t="shared" si="9"/>
        <v>0</v>
      </c>
      <c r="Z32" s="115">
        <v>5.4</v>
      </c>
      <c r="AA32" s="116">
        <f t="shared" si="10"/>
        <v>6</v>
      </c>
      <c r="AB32" s="116">
        <v>7.2</v>
      </c>
      <c r="AC32" s="116">
        <f t="shared" si="11"/>
        <v>38.880000000000003</v>
      </c>
      <c r="AD32" s="116">
        <v>0</v>
      </c>
      <c r="AE32" s="116">
        <f t="shared" si="12"/>
        <v>4.666666666666667</v>
      </c>
      <c r="AF32" s="116">
        <v>5.6</v>
      </c>
      <c r="AG32" s="116">
        <f t="shared" si="13"/>
        <v>0</v>
      </c>
      <c r="AH32" s="117">
        <v>51.7</v>
      </c>
      <c r="AI32" s="116">
        <f t="shared" si="14"/>
        <v>8.3333333333333339</v>
      </c>
      <c r="AJ32" s="116">
        <v>10</v>
      </c>
      <c r="AK32" s="116">
        <f t="shared" si="15"/>
        <v>517</v>
      </c>
      <c r="AL32" s="117">
        <v>0</v>
      </c>
      <c r="AM32" s="116">
        <f t="shared" si="16"/>
        <v>12.750000000000002</v>
      </c>
      <c r="AN32" s="116">
        <v>15.3</v>
      </c>
      <c r="AO32" s="116">
        <f t="shared" si="17"/>
        <v>0</v>
      </c>
      <c r="AP32" s="116">
        <f t="shared" si="18"/>
        <v>605.1</v>
      </c>
      <c r="AQ32" s="116">
        <f t="shared" si="19"/>
        <v>726.12</v>
      </c>
      <c r="AR32" s="117">
        <v>465</v>
      </c>
      <c r="AS32" s="116" t="s">
        <v>210</v>
      </c>
      <c r="AT32" s="118">
        <v>0</v>
      </c>
      <c r="AU32" s="118">
        <f t="shared" si="20"/>
        <v>6.1000000000000005</v>
      </c>
      <c r="AV32" s="144">
        <v>7.32</v>
      </c>
      <c r="AW32" s="118">
        <f t="shared" si="23"/>
        <v>2836.5000000000005</v>
      </c>
      <c r="AX32" s="118">
        <f t="shared" si="21"/>
        <v>3403.8</v>
      </c>
      <c r="AY32" s="119">
        <f t="shared" si="22"/>
        <v>3441.6000000000004</v>
      </c>
      <c r="AZ32" s="120">
        <f t="shared" si="24"/>
        <v>4129.92</v>
      </c>
      <c r="BA32" s="9"/>
      <c r="BB32" s="9"/>
      <c r="BC32" s="9"/>
      <c r="BD32" s="9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5"/>
      <c r="CL32" s="35"/>
      <c r="CM32" s="35"/>
      <c r="CN32" s="35"/>
      <c r="CO32" s="35"/>
    </row>
    <row r="33" spans="1:93" s="4" customFormat="1" ht="366" outlineLevel="1" x14ac:dyDescent="0.25">
      <c r="A33" s="111">
        <f t="shared" si="65"/>
        <v>20</v>
      </c>
      <c r="B33" s="112" t="s">
        <v>217</v>
      </c>
      <c r="C33" s="123" t="s">
        <v>225</v>
      </c>
      <c r="D33" s="114" t="s">
        <v>19</v>
      </c>
      <c r="E33" s="115">
        <f t="shared" si="0"/>
        <v>58.5</v>
      </c>
      <c r="F33" s="116">
        <v>0</v>
      </c>
      <c r="G33" s="116">
        <f t="shared" si="1"/>
        <v>16.666666666666668</v>
      </c>
      <c r="H33" s="116">
        <v>20</v>
      </c>
      <c r="I33" s="116">
        <f t="shared" si="2"/>
        <v>0</v>
      </c>
      <c r="J33" s="115">
        <v>0</v>
      </c>
      <c r="K33" s="116">
        <f t="shared" si="3"/>
        <v>12.916666666666668</v>
      </c>
      <c r="L33" s="116">
        <v>15.5</v>
      </c>
      <c r="M33" s="116">
        <f t="shared" si="4"/>
        <v>0</v>
      </c>
      <c r="N33" s="117">
        <v>13.6</v>
      </c>
      <c r="O33" s="116">
        <f t="shared" si="5"/>
        <v>4.666666666666667</v>
      </c>
      <c r="P33" s="116">
        <v>5.6</v>
      </c>
      <c r="Q33" s="116">
        <f t="shared" si="6"/>
        <v>76.16</v>
      </c>
      <c r="R33" s="115">
        <v>0</v>
      </c>
      <c r="S33" s="116">
        <f t="shared" si="26"/>
        <v>15.583333333333334</v>
      </c>
      <c r="T33" s="116">
        <v>18.7</v>
      </c>
      <c r="U33" s="116">
        <f t="shared" si="7"/>
        <v>0</v>
      </c>
      <c r="V33" s="116">
        <v>10.8</v>
      </c>
      <c r="W33" s="116">
        <f t="shared" si="8"/>
        <v>6.416666666666667</v>
      </c>
      <c r="X33" s="116">
        <v>7.7</v>
      </c>
      <c r="Y33" s="116">
        <f t="shared" si="9"/>
        <v>83.160000000000011</v>
      </c>
      <c r="Z33" s="115">
        <v>11</v>
      </c>
      <c r="AA33" s="116">
        <f t="shared" si="10"/>
        <v>6</v>
      </c>
      <c r="AB33" s="116">
        <v>7.2</v>
      </c>
      <c r="AC33" s="116">
        <f t="shared" si="11"/>
        <v>79.2</v>
      </c>
      <c r="AD33" s="116">
        <v>0</v>
      </c>
      <c r="AE33" s="116">
        <f t="shared" si="12"/>
        <v>4.666666666666667</v>
      </c>
      <c r="AF33" s="116">
        <v>5.6</v>
      </c>
      <c r="AG33" s="116">
        <f t="shared" si="13"/>
        <v>0</v>
      </c>
      <c r="AH33" s="117">
        <v>23.1</v>
      </c>
      <c r="AI33" s="116">
        <f t="shared" si="14"/>
        <v>8.3333333333333339</v>
      </c>
      <c r="AJ33" s="116">
        <v>10</v>
      </c>
      <c r="AK33" s="116">
        <f t="shared" si="15"/>
        <v>231</v>
      </c>
      <c r="AL33" s="117">
        <v>0</v>
      </c>
      <c r="AM33" s="116">
        <f t="shared" si="16"/>
        <v>12.750000000000002</v>
      </c>
      <c r="AN33" s="116">
        <v>15.3</v>
      </c>
      <c r="AO33" s="116">
        <f t="shared" si="17"/>
        <v>0</v>
      </c>
      <c r="AP33" s="116">
        <f t="shared" si="18"/>
        <v>391.26666666666665</v>
      </c>
      <c r="AQ33" s="116">
        <f t="shared" si="19"/>
        <v>469.52</v>
      </c>
      <c r="AR33" s="117">
        <v>518</v>
      </c>
      <c r="AS33" s="116" t="s">
        <v>210</v>
      </c>
      <c r="AT33" s="118">
        <v>0</v>
      </c>
      <c r="AU33" s="118">
        <f t="shared" si="20"/>
        <v>6.1000000000000005</v>
      </c>
      <c r="AV33" s="144">
        <v>7.32</v>
      </c>
      <c r="AW33" s="118">
        <f t="shared" si="23"/>
        <v>3159.8</v>
      </c>
      <c r="AX33" s="118">
        <f t="shared" si="21"/>
        <v>3791.76</v>
      </c>
      <c r="AY33" s="119">
        <f t="shared" si="22"/>
        <v>3551.0666666666666</v>
      </c>
      <c r="AZ33" s="120">
        <f t="shared" si="24"/>
        <v>4261.2800000000007</v>
      </c>
      <c r="BA33" s="9"/>
      <c r="BB33" s="9"/>
      <c r="BC33" s="9"/>
      <c r="BD33" s="9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5"/>
      <c r="CL33" s="35"/>
      <c r="CM33" s="35"/>
      <c r="CN33" s="35"/>
      <c r="CO33" s="35"/>
    </row>
    <row r="34" spans="1:93" s="4" customFormat="1" ht="320.25" outlineLevel="1" x14ac:dyDescent="0.25">
      <c r="A34" s="111">
        <f t="shared" si="65"/>
        <v>21</v>
      </c>
      <c r="B34" s="112" t="s">
        <v>217</v>
      </c>
      <c r="C34" s="122" t="s">
        <v>226</v>
      </c>
      <c r="D34" s="114" t="s">
        <v>19</v>
      </c>
      <c r="E34" s="115">
        <f t="shared" si="0"/>
        <v>929.2</v>
      </c>
      <c r="F34" s="116">
        <v>0</v>
      </c>
      <c r="G34" s="116">
        <f t="shared" si="1"/>
        <v>16.666666666666668</v>
      </c>
      <c r="H34" s="116">
        <v>20</v>
      </c>
      <c r="I34" s="116">
        <f t="shared" si="2"/>
        <v>0</v>
      </c>
      <c r="J34" s="115">
        <v>218.6</v>
      </c>
      <c r="K34" s="116">
        <f t="shared" si="3"/>
        <v>12.916666666666668</v>
      </c>
      <c r="L34" s="116">
        <v>15.5</v>
      </c>
      <c r="M34" s="116">
        <f t="shared" si="4"/>
        <v>3388.2999999999997</v>
      </c>
      <c r="N34" s="117">
        <v>243.5</v>
      </c>
      <c r="O34" s="116">
        <f t="shared" si="5"/>
        <v>4.666666666666667</v>
      </c>
      <c r="P34" s="116">
        <v>5.6</v>
      </c>
      <c r="Q34" s="116">
        <f t="shared" si="6"/>
        <v>1363.6</v>
      </c>
      <c r="R34" s="115">
        <v>0</v>
      </c>
      <c r="S34" s="116">
        <f t="shared" si="26"/>
        <v>15.583333333333334</v>
      </c>
      <c r="T34" s="116">
        <v>18.7</v>
      </c>
      <c r="U34" s="116">
        <f t="shared" si="7"/>
        <v>0</v>
      </c>
      <c r="V34" s="116">
        <v>26.2</v>
      </c>
      <c r="W34" s="116">
        <f t="shared" si="8"/>
        <v>6.416666666666667</v>
      </c>
      <c r="X34" s="116">
        <v>7.7</v>
      </c>
      <c r="Y34" s="116">
        <f t="shared" si="9"/>
        <v>201.74</v>
      </c>
      <c r="Z34" s="115">
        <v>252.7</v>
      </c>
      <c r="AA34" s="116">
        <f t="shared" si="10"/>
        <v>6</v>
      </c>
      <c r="AB34" s="116">
        <v>7.2</v>
      </c>
      <c r="AC34" s="116">
        <f t="shared" si="11"/>
        <v>1819.44</v>
      </c>
      <c r="AD34" s="116">
        <v>0</v>
      </c>
      <c r="AE34" s="116">
        <f t="shared" si="12"/>
        <v>4.666666666666667</v>
      </c>
      <c r="AF34" s="116">
        <v>5.6</v>
      </c>
      <c r="AG34" s="116">
        <f t="shared" si="13"/>
        <v>0</v>
      </c>
      <c r="AH34" s="117">
        <v>167.5</v>
      </c>
      <c r="AI34" s="116">
        <f t="shared" si="14"/>
        <v>8.3333333333333339</v>
      </c>
      <c r="AJ34" s="116">
        <v>10</v>
      </c>
      <c r="AK34" s="116">
        <f t="shared" si="15"/>
        <v>1675</v>
      </c>
      <c r="AL34" s="117">
        <v>20.7</v>
      </c>
      <c r="AM34" s="116">
        <f t="shared" si="16"/>
        <v>12.750000000000002</v>
      </c>
      <c r="AN34" s="116">
        <v>15.3</v>
      </c>
      <c r="AO34" s="116">
        <f t="shared" si="17"/>
        <v>316.70999999999998</v>
      </c>
      <c r="AP34" s="116">
        <f t="shared" si="18"/>
        <v>7303.9916666666659</v>
      </c>
      <c r="AQ34" s="116">
        <f t="shared" si="19"/>
        <v>8764.7899999999991</v>
      </c>
      <c r="AR34" s="117">
        <v>1965</v>
      </c>
      <c r="AS34" s="116" t="s">
        <v>210</v>
      </c>
      <c r="AT34" s="118">
        <v>0</v>
      </c>
      <c r="AU34" s="118">
        <f t="shared" si="20"/>
        <v>6.1000000000000005</v>
      </c>
      <c r="AV34" s="144">
        <v>7.32</v>
      </c>
      <c r="AW34" s="118">
        <f t="shared" si="23"/>
        <v>11986.500000000002</v>
      </c>
      <c r="AX34" s="118">
        <f t="shared" si="21"/>
        <v>14383.800000000001</v>
      </c>
      <c r="AY34" s="119">
        <f t="shared" si="22"/>
        <v>19290.491666666669</v>
      </c>
      <c r="AZ34" s="120">
        <f t="shared" si="24"/>
        <v>23148.59</v>
      </c>
      <c r="BA34" s="9"/>
      <c r="BB34" s="9"/>
      <c r="BC34" s="9"/>
      <c r="BD34" s="9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5"/>
      <c r="CL34" s="35"/>
      <c r="CM34" s="35"/>
      <c r="CN34" s="35"/>
      <c r="CO34" s="35"/>
    </row>
    <row r="35" spans="1:93" s="4" customFormat="1" ht="274.5" outlineLevel="1" x14ac:dyDescent="0.25">
      <c r="A35" s="111">
        <f t="shared" si="65"/>
        <v>22</v>
      </c>
      <c r="B35" s="112" t="s">
        <v>217</v>
      </c>
      <c r="C35" s="113" t="s">
        <v>227</v>
      </c>
      <c r="D35" s="114" t="s">
        <v>19</v>
      </c>
      <c r="E35" s="115">
        <f t="shared" si="0"/>
        <v>654.09999999999991</v>
      </c>
      <c r="F35" s="116">
        <v>0</v>
      </c>
      <c r="G35" s="116">
        <f t="shared" si="1"/>
        <v>16.666666666666668</v>
      </c>
      <c r="H35" s="116">
        <v>20</v>
      </c>
      <c r="I35" s="116">
        <f t="shared" si="2"/>
        <v>0</v>
      </c>
      <c r="J35" s="115">
        <v>257.7</v>
      </c>
      <c r="K35" s="116">
        <f t="shared" si="3"/>
        <v>12.916666666666668</v>
      </c>
      <c r="L35" s="116">
        <v>15.5</v>
      </c>
      <c r="M35" s="116">
        <f t="shared" si="4"/>
        <v>3994.35</v>
      </c>
      <c r="N35" s="117">
        <v>79.099999999999994</v>
      </c>
      <c r="O35" s="116">
        <f t="shared" si="5"/>
        <v>4.666666666666667</v>
      </c>
      <c r="P35" s="116">
        <v>5.6</v>
      </c>
      <c r="Q35" s="116">
        <f t="shared" si="6"/>
        <v>442.95999999999992</v>
      </c>
      <c r="R35" s="115">
        <v>0</v>
      </c>
      <c r="S35" s="116">
        <f t="shared" si="26"/>
        <v>15.583333333333334</v>
      </c>
      <c r="T35" s="116">
        <v>18.7</v>
      </c>
      <c r="U35" s="116">
        <f t="shared" si="7"/>
        <v>0</v>
      </c>
      <c r="V35" s="116">
        <v>21.7</v>
      </c>
      <c r="W35" s="116">
        <f t="shared" si="8"/>
        <v>6.416666666666667</v>
      </c>
      <c r="X35" s="116">
        <v>7.7</v>
      </c>
      <c r="Y35" s="116">
        <f t="shared" si="9"/>
        <v>167.09</v>
      </c>
      <c r="Z35" s="115">
        <v>0</v>
      </c>
      <c r="AA35" s="116">
        <f t="shared" si="10"/>
        <v>6</v>
      </c>
      <c r="AB35" s="116">
        <v>7.2</v>
      </c>
      <c r="AC35" s="116">
        <f t="shared" si="11"/>
        <v>0</v>
      </c>
      <c r="AD35" s="116">
        <v>0</v>
      </c>
      <c r="AE35" s="116">
        <f t="shared" si="12"/>
        <v>4.666666666666667</v>
      </c>
      <c r="AF35" s="116">
        <v>5.6</v>
      </c>
      <c r="AG35" s="116">
        <f t="shared" si="13"/>
        <v>0</v>
      </c>
      <c r="AH35" s="117">
        <v>276.10000000000002</v>
      </c>
      <c r="AI35" s="116">
        <f t="shared" si="14"/>
        <v>8.3333333333333339</v>
      </c>
      <c r="AJ35" s="116">
        <v>10</v>
      </c>
      <c r="AK35" s="116">
        <f t="shared" si="15"/>
        <v>2761</v>
      </c>
      <c r="AL35" s="117">
        <v>19.5</v>
      </c>
      <c r="AM35" s="116">
        <f t="shared" si="16"/>
        <v>12.750000000000002</v>
      </c>
      <c r="AN35" s="116">
        <v>15.3</v>
      </c>
      <c r="AO35" s="116">
        <f t="shared" si="17"/>
        <v>298.35000000000002</v>
      </c>
      <c r="AP35" s="116">
        <f t="shared" si="18"/>
        <v>6386.4583333333339</v>
      </c>
      <c r="AQ35" s="116">
        <f t="shared" si="19"/>
        <v>7663.75</v>
      </c>
      <c r="AR35" s="117">
        <v>3357.2</v>
      </c>
      <c r="AS35" s="116" t="s">
        <v>210</v>
      </c>
      <c r="AT35" s="118">
        <v>0</v>
      </c>
      <c r="AU35" s="118">
        <f t="shared" si="20"/>
        <v>6.1000000000000005</v>
      </c>
      <c r="AV35" s="144">
        <v>7.32</v>
      </c>
      <c r="AW35" s="118">
        <f t="shared" si="23"/>
        <v>20478.920000000002</v>
      </c>
      <c r="AX35" s="118">
        <f t="shared" si="21"/>
        <v>24574.703999999998</v>
      </c>
      <c r="AY35" s="119">
        <f t="shared" si="22"/>
        <v>26865.378333333334</v>
      </c>
      <c r="AZ35" s="120">
        <f t="shared" si="24"/>
        <v>32238.453999999998</v>
      </c>
      <c r="BA35" s="9"/>
      <c r="BB35" s="9"/>
      <c r="BC35" s="9"/>
      <c r="BD35" s="9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5"/>
      <c r="CL35" s="35"/>
      <c r="CM35" s="35"/>
      <c r="CN35" s="35"/>
      <c r="CO35" s="35"/>
    </row>
    <row r="36" spans="1:93" s="4" customFormat="1" ht="409.5" outlineLevel="1" x14ac:dyDescent="0.25">
      <c r="A36" s="111">
        <f t="shared" si="65"/>
        <v>23</v>
      </c>
      <c r="B36" s="112" t="s">
        <v>217</v>
      </c>
      <c r="C36" s="113" t="s">
        <v>228</v>
      </c>
      <c r="D36" s="114" t="s">
        <v>19</v>
      </c>
      <c r="E36" s="115">
        <f t="shared" si="0"/>
        <v>321.70000000000005</v>
      </c>
      <c r="F36" s="116">
        <v>0</v>
      </c>
      <c r="G36" s="116">
        <f t="shared" si="1"/>
        <v>16.666666666666668</v>
      </c>
      <c r="H36" s="116">
        <v>20</v>
      </c>
      <c r="I36" s="116">
        <f t="shared" si="2"/>
        <v>0</v>
      </c>
      <c r="J36" s="115">
        <v>92.2</v>
      </c>
      <c r="K36" s="116">
        <f t="shared" si="3"/>
        <v>12.916666666666668</v>
      </c>
      <c r="L36" s="116">
        <v>15.5</v>
      </c>
      <c r="M36" s="116">
        <f t="shared" si="4"/>
        <v>1429.1000000000001</v>
      </c>
      <c r="N36" s="117">
        <v>60.8</v>
      </c>
      <c r="O36" s="116">
        <f t="shared" si="5"/>
        <v>4.666666666666667</v>
      </c>
      <c r="P36" s="116">
        <v>5.6</v>
      </c>
      <c r="Q36" s="116">
        <f t="shared" si="6"/>
        <v>340.47999999999996</v>
      </c>
      <c r="R36" s="115">
        <v>0</v>
      </c>
      <c r="S36" s="116">
        <f t="shared" si="26"/>
        <v>15.583333333333334</v>
      </c>
      <c r="T36" s="116">
        <v>18.7</v>
      </c>
      <c r="U36" s="116">
        <f t="shared" si="7"/>
        <v>0</v>
      </c>
      <c r="V36" s="116">
        <v>16.5</v>
      </c>
      <c r="W36" s="116">
        <f t="shared" si="8"/>
        <v>6.416666666666667</v>
      </c>
      <c r="X36" s="116">
        <v>7.7</v>
      </c>
      <c r="Y36" s="116">
        <f t="shared" si="9"/>
        <v>127.05</v>
      </c>
      <c r="Z36" s="115">
        <v>45.4</v>
      </c>
      <c r="AA36" s="116">
        <f t="shared" si="10"/>
        <v>6</v>
      </c>
      <c r="AB36" s="116">
        <v>7.2</v>
      </c>
      <c r="AC36" s="116">
        <f t="shared" si="11"/>
        <v>326.88</v>
      </c>
      <c r="AD36" s="116">
        <v>0</v>
      </c>
      <c r="AE36" s="116">
        <f t="shared" si="12"/>
        <v>4.666666666666667</v>
      </c>
      <c r="AF36" s="116">
        <v>5.6</v>
      </c>
      <c r="AG36" s="116">
        <f t="shared" si="13"/>
        <v>0</v>
      </c>
      <c r="AH36" s="117">
        <v>87.2</v>
      </c>
      <c r="AI36" s="116">
        <f t="shared" si="14"/>
        <v>8.3333333333333339</v>
      </c>
      <c r="AJ36" s="116">
        <v>10</v>
      </c>
      <c r="AK36" s="116">
        <f t="shared" si="15"/>
        <v>872</v>
      </c>
      <c r="AL36" s="117">
        <v>19.600000000000001</v>
      </c>
      <c r="AM36" s="116">
        <f t="shared" si="16"/>
        <v>12.750000000000002</v>
      </c>
      <c r="AN36" s="116">
        <v>15.3</v>
      </c>
      <c r="AO36" s="116">
        <f t="shared" si="17"/>
        <v>299.88000000000005</v>
      </c>
      <c r="AP36" s="116">
        <f t="shared" si="18"/>
        <v>2829.4916666666672</v>
      </c>
      <c r="AQ36" s="116">
        <f t="shared" si="19"/>
        <v>3395.3900000000003</v>
      </c>
      <c r="AR36" s="117">
        <v>836</v>
      </c>
      <c r="AS36" s="116" t="s">
        <v>210</v>
      </c>
      <c r="AT36" s="118">
        <v>0</v>
      </c>
      <c r="AU36" s="118">
        <f t="shared" si="20"/>
        <v>6.1000000000000005</v>
      </c>
      <c r="AV36" s="144">
        <v>7.32</v>
      </c>
      <c r="AW36" s="118">
        <f t="shared" si="23"/>
        <v>5099.6000000000004</v>
      </c>
      <c r="AX36" s="118">
        <f t="shared" si="21"/>
        <v>6119.52</v>
      </c>
      <c r="AY36" s="119">
        <f t="shared" si="22"/>
        <v>7929.0916666666672</v>
      </c>
      <c r="AZ36" s="120">
        <f t="shared" si="24"/>
        <v>9514.91</v>
      </c>
      <c r="BA36" s="9"/>
      <c r="BB36" s="9"/>
      <c r="BC36" s="9"/>
      <c r="BD36" s="9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5"/>
      <c r="CL36" s="35"/>
      <c r="CM36" s="35"/>
      <c r="CN36" s="35"/>
      <c r="CO36" s="35"/>
    </row>
    <row r="37" spans="1:93" s="4" customFormat="1" ht="409.5" outlineLevel="1" x14ac:dyDescent="0.25">
      <c r="A37" s="111">
        <f t="shared" si="65"/>
        <v>24</v>
      </c>
      <c r="B37" s="112" t="s">
        <v>217</v>
      </c>
      <c r="C37" s="113" t="s">
        <v>229</v>
      </c>
      <c r="D37" s="114" t="s">
        <v>19</v>
      </c>
      <c r="E37" s="115">
        <f t="shared" si="0"/>
        <v>329.3</v>
      </c>
      <c r="F37" s="116">
        <v>0</v>
      </c>
      <c r="G37" s="116">
        <f t="shared" si="1"/>
        <v>16.666666666666668</v>
      </c>
      <c r="H37" s="116">
        <v>20</v>
      </c>
      <c r="I37" s="116">
        <f t="shared" si="2"/>
        <v>0</v>
      </c>
      <c r="J37" s="115">
        <v>120.4</v>
      </c>
      <c r="K37" s="116">
        <f t="shared" si="3"/>
        <v>12.916666666666668</v>
      </c>
      <c r="L37" s="116">
        <v>15.5</v>
      </c>
      <c r="M37" s="116">
        <f t="shared" si="4"/>
        <v>1866.2</v>
      </c>
      <c r="N37" s="117">
        <v>42.6</v>
      </c>
      <c r="O37" s="116">
        <f t="shared" si="5"/>
        <v>4.666666666666667</v>
      </c>
      <c r="P37" s="116">
        <v>5.6</v>
      </c>
      <c r="Q37" s="116">
        <f t="shared" si="6"/>
        <v>238.56</v>
      </c>
      <c r="R37" s="115">
        <v>0</v>
      </c>
      <c r="S37" s="116">
        <f t="shared" si="26"/>
        <v>15.583333333333334</v>
      </c>
      <c r="T37" s="116">
        <v>18.7</v>
      </c>
      <c r="U37" s="116">
        <f t="shared" si="7"/>
        <v>0</v>
      </c>
      <c r="V37" s="116">
        <v>0</v>
      </c>
      <c r="W37" s="116">
        <f t="shared" si="8"/>
        <v>6.416666666666667</v>
      </c>
      <c r="X37" s="116">
        <v>7.7</v>
      </c>
      <c r="Y37" s="116">
        <f t="shared" si="9"/>
        <v>0</v>
      </c>
      <c r="Z37" s="115">
        <v>65.099999999999994</v>
      </c>
      <c r="AA37" s="116">
        <f t="shared" si="10"/>
        <v>6</v>
      </c>
      <c r="AB37" s="116">
        <v>7.2</v>
      </c>
      <c r="AC37" s="116">
        <f t="shared" si="11"/>
        <v>468.71999999999997</v>
      </c>
      <c r="AD37" s="116">
        <v>0</v>
      </c>
      <c r="AE37" s="116">
        <f t="shared" si="12"/>
        <v>4.666666666666667</v>
      </c>
      <c r="AF37" s="116">
        <v>5.6</v>
      </c>
      <c r="AG37" s="116">
        <f t="shared" si="13"/>
        <v>0</v>
      </c>
      <c r="AH37" s="117">
        <v>101.2</v>
      </c>
      <c r="AI37" s="116">
        <f t="shared" si="14"/>
        <v>8.3333333333333339</v>
      </c>
      <c r="AJ37" s="116">
        <v>10</v>
      </c>
      <c r="AK37" s="116">
        <f t="shared" si="15"/>
        <v>1012</v>
      </c>
      <c r="AL37" s="117">
        <v>0</v>
      </c>
      <c r="AM37" s="116">
        <f t="shared" si="16"/>
        <v>12.750000000000002</v>
      </c>
      <c r="AN37" s="116">
        <v>15.3</v>
      </c>
      <c r="AO37" s="116">
        <f t="shared" si="17"/>
        <v>0</v>
      </c>
      <c r="AP37" s="116">
        <f t="shared" si="18"/>
        <v>2987.9</v>
      </c>
      <c r="AQ37" s="116">
        <f t="shared" si="19"/>
        <v>3585.48</v>
      </c>
      <c r="AR37" s="117">
        <v>889</v>
      </c>
      <c r="AS37" s="116" t="s">
        <v>210</v>
      </c>
      <c r="AT37" s="118">
        <v>0</v>
      </c>
      <c r="AU37" s="118">
        <f t="shared" si="20"/>
        <v>6.1000000000000005</v>
      </c>
      <c r="AV37" s="144">
        <v>7.32</v>
      </c>
      <c r="AW37" s="118">
        <f t="shared" si="23"/>
        <v>5422.9000000000005</v>
      </c>
      <c r="AX37" s="118">
        <f t="shared" si="21"/>
        <v>6507.4800000000005</v>
      </c>
      <c r="AY37" s="119">
        <f t="shared" si="22"/>
        <v>8410.8000000000011</v>
      </c>
      <c r="AZ37" s="120">
        <f t="shared" si="24"/>
        <v>10092.960000000001</v>
      </c>
      <c r="BA37" s="9"/>
      <c r="BB37" s="9"/>
      <c r="BC37" s="9"/>
      <c r="BD37" s="9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5"/>
      <c r="CL37" s="35"/>
      <c r="CM37" s="35"/>
      <c r="CN37" s="35"/>
      <c r="CO37" s="35"/>
    </row>
    <row r="38" spans="1:93" s="34" customFormat="1" ht="45.75" outlineLevel="1" x14ac:dyDescent="0.25">
      <c r="A38" s="160" t="s">
        <v>53</v>
      </c>
      <c r="B38" s="161"/>
      <c r="C38" s="161"/>
      <c r="D38" s="124"/>
      <c r="E38" s="115"/>
      <c r="F38" s="124"/>
      <c r="G38" s="116"/>
      <c r="H38" s="124"/>
      <c r="I38" s="124"/>
      <c r="J38" s="124"/>
      <c r="K38" s="116"/>
      <c r="L38" s="116"/>
      <c r="M38" s="124"/>
      <c r="N38" s="124"/>
      <c r="O38" s="116"/>
      <c r="P38" s="116"/>
      <c r="Q38" s="124"/>
      <c r="R38" s="124"/>
      <c r="S38" s="116"/>
      <c r="T38" s="116"/>
      <c r="U38" s="124"/>
      <c r="V38" s="124"/>
      <c r="W38" s="116"/>
      <c r="X38" s="116"/>
      <c r="Y38" s="124"/>
      <c r="Z38" s="124"/>
      <c r="AA38" s="116"/>
      <c r="AB38" s="116"/>
      <c r="AC38" s="124"/>
      <c r="AD38" s="124"/>
      <c r="AE38" s="116"/>
      <c r="AF38" s="116"/>
      <c r="AG38" s="124"/>
      <c r="AH38" s="124"/>
      <c r="AI38" s="116"/>
      <c r="AJ38" s="116"/>
      <c r="AK38" s="124"/>
      <c r="AL38" s="124"/>
      <c r="AM38" s="116"/>
      <c r="AN38" s="116"/>
      <c r="AO38" s="124"/>
      <c r="AP38" s="116"/>
      <c r="AQ38" s="125"/>
      <c r="AR38" s="124"/>
      <c r="AS38" s="116"/>
      <c r="AT38" s="126"/>
      <c r="AU38" s="118"/>
      <c r="AV38" s="144"/>
      <c r="AW38" s="126"/>
      <c r="AX38" s="126"/>
      <c r="AY38" s="127"/>
      <c r="AZ38" s="128"/>
      <c r="BA38" s="62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188"/>
      <c r="CK38" s="189"/>
      <c r="CL38" s="190"/>
      <c r="CM38" s="190"/>
      <c r="CN38" s="190"/>
      <c r="CO38" s="190"/>
    </row>
    <row r="39" spans="1:93" s="4" customFormat="1" ht="228.75" outlineLevel="1" x14ac:dyDescent="0.25">
      <c r="A39" s="111">
        <v>25</v>
      </c>
      <c r="B39" s="112" t="s">
        <v>184</v>
      </c>
      <c r="C39" s="113" t="s">
        <v>68</v>
      </c>
      <c r="D39" s="114" t="s">
        <v>19</v>
      </c>
      <c r="E39" s="115">
        <f t="shared" si="0"/>
        <v>1035.5999999999999</v>
      </c>
      <c r="F39" s="116">
        <v>0</v>
      </c>
      <c r="G39" s="116">
        <f t="shared" si="1"/>
        <v>16.666666666666668</v>
      </c>
      <c r="H39" s="116">
        <v>20</v>
      </c>
      <c r="I39" s="116">
        <f t="shared" si="2"/>
        <v>0</v>
      </c>
      <c r="J39" s="115">
        <f>179+228+87.7</f>
        <v>494.7</v>
      </c>
      <c r="K39" s="116">
        <f t="shared" si="3"/>
        <v>12.916666666666668</v>
      </c>
      <c r="L39" s="116">
        <v>15.5</v>
      </c>
      <c r="M39" s="116">
        <f t="shared" si="4"/>
        <v>7667.8499999999995</v>
      </c>
      <c r="N39" s="117">
        <v>35</v>
      </c>
      <c r="O39" s="116">
        <f t="shared" si="5"/>
        <v>4.666666666666667</v>
      </c>
      <c r="P39" s="116">
        <v>5.6</v>
      </c>
      <c r="Q39" s="116">
        <f t="shared" si="6"/>
        <v>196</v>
      </c>
      <c r="R39" s="115">
        <v>0</v>
      </c>
      <c r="S39" s="116">
        <f t="shared" si="26"/>
        <v>15.583333333333334</v>
      </c>
      <c r="T39" s="116">
        <v>18.7</v>
      </c>
      <c r="U39" s="116">
        <f t="shared" si="7"/>
        <v>0</v>
      </c>
      <c r="V39" s="116">
        <v>0</v>
      </c>
      <c r="W39" s="116">
        <f t="shared" si="8"/>
        <v>6.416666666666667</v>
      </c>
      <c r="X39" s="116">
        <v>7.7</v>
      </c>
      <c r="Y39" s="116">
        <f t="shared" si="9"/>
        <v>0</v>
      </c>
      <c r="Z39" s="115">
        <f>84.2+10.8+44.9+180</f>
        <v>319.89999999999998</v>
      </c>
      <c r="AA39" s="116">
        <f t="shared" si="10"/>
        <v>6</v>
      </c>
      <c r="AB39" s="116">
        <v>7.2</v>
      </c>
      <c r="AC39" s="116">
        <f t="shared" si="11"/>
        <v>2303.2799999999997</v>
      </c>
      <c r="AD39" s="116">
        <v>0</v>
      </c>
      <c r="AE39" s="116">
        <f t="shared" si="12"/>
        <v>4.666666666666667</v>
      </c>
      <c r="AF39" s="116">
        <v>5.6</v>
      </c>
      <c r="AG39" s="116">
        <f t="shared" si="13"/>
        <v>0</v>
      </c>
      <c r="AH39" s="117">
        <f>22+140.5</f>
        <v>162.5</v>
      </c>
      <c r="AI39" s="116">
        <f t="shared" si="14"/>
        <v>8.3333333333333339</v>
      </c>
      <c r="AJ39" s="116">
        <v>10</v>
      </c>
      <c r="AK39" s="116">
        <f t="shared" si="15"/>
        <v>1625</v>
      </c>
      <c r="AL39" s="117">
        <f>9.4+14.1</f>
        <v>23.5</v>
      </c>
      <c r="AM39" s="116">
        <f t="shared" si="16"/>
        <v>12.750000000000002</v>
      </c>
      <c r="AN39" s="116">
        <v>15.3</v>
      </c>
      <c r="AO39" s="116">
        <f t="shared" si="17"/>
        <v>359.55</v>
      </c>
      <c r="AP39" s="116">
        <f t="shared" si="18"/>
        <v>10126.4</v>
      </c>
      <c r="AQ39" s="116">
        <f t="shared" si="19"/>
        <v>12151.679999999998</v>
      </c>
      <c r="AR39" s="117">
        <v>992</v>
      </c>
      <c r="AS39" s="116" t="s">
        <v>210</v>
      </c>
      <c r="AT39" s="118">
        <v>0</v>
      </c>
      <c r="AU39" s="118">
        <f t="shared" si="20"/>
        <v>6.1000000000000005</v>
      </c>
      <c r="AV39" s="144">
        <v>7.32</v>
      </c>
      <c r="AW39" s="118">
        <f t="shared" si="23"/>
        <v>6051.2000000000007</v>
      </c>
      <c r="AX39" s="118">
        <f t="shared" si="21"/>
        <v>7261.4400000000005</v>
      </c>
      <c r="AY39" s="119">
        <f t="shared" si="22"/>
        <v>16177.6</v>
      </c>
      <c r="AZ39" s="120">
        <f t="shared" si="24"/>
        <v>19413.12</v>
      </c>
      <c r="BA39" s="9"/>
      <c r="BB39" s="9"/>
      <c r="BC39" s="9"/>
      <c r="BD39" s="9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5"/>
      <c r="CL39" s="35"/>
      <c r="CM39" s="35"/>
      <c r="CN39" s="35"/>
      <c r="CO39" s="35"/>
    </row>
    <row r="40" spans="1:93" s="4" customFormat="1" ht="274.5" outlineLevel="1" x14ac:dyDescent="0.25">
      <c r="A40" s="111">
        <f>A39+1</f>
        <v>26</v>
      </c>
      <c r="B40" s="112" t="s">
        <v>16</v>
      </c>
      <c r="C40" s="113" t="s">
        <v>70</v>
      </c>
      <c r="D40" s="114" t="s">
        <v>19</v>
      </c>
      <c r="E40" s="115">
        <f t="shared" si="0"/>
        <v>747.59999999999991</v>
      </c>
      <c r="F40" s="116">
        <v>0</v>
      </c>
      <c r="G40" s="116">
        <f t="shared" si="1"/>
        <v>16.666666666666668</v>
      </c>
      <c r="H40" s="116">
        <v>20</v>
      </c>
      <c r="I40" s="116">
        <f t="shared" si="2"/>
        <v>0</v>
      </c>
      <c r="J40" s="115">
        <v>326.39999999999998</v>
      </c>
      <c r="K40" s="116">
        <f t="shared" si="3"/>
        <v>12.916666666666668</v>
      </c>
      <c r="L40" s="116">
        <v>15.5</v>
      </c>
      <c r="M40" s="116">
        <f t="shared" si="4"/>
        <v>5059.2</v>
      </c>
      <c r="N40" s="117">
        <v>19</v>
      </c>
      <c r="O40" s="116">
        <f t="shared" si="5"/>
        <v>4.666666666666667</v>
      </c>
      <c r="P40" s="116">
        <v>5.6</v>
      </c>
      <c r="Q40" s="116">
        <f t="shared" si="6"/>
        <v>106.39999999999999</v>
      </c>
      <c r="R40" s="115">
        <v>0</v>
      </c>
      <c r="S40" s="116">
        <f t="shared" si="26"/>
        <v>15.583333333333334</v>
      </c>
      <c r="T40" s="116">
        <v>18.7</v>
      </c>
      <c r="U40" s="116">
        <f t="shared" si="7"/>
        <v>0</v>
      </c>
      <c r="V40" s="116">
        <v>0</v>
      </c>
      <c r="W40" s="116">
        <f t="shared" si="8"/>
        <v>6.416666666666667</v>
      </c>
      <c r="X40" s="116">
        <v>7.7</v>
      </c>
      <c r="Y40" s="116">
        <f t="shared" si="9"/>
        <v>0</v>
      </c>
      <c r="Z40" s="115">
        <f>57+43+57+30+56.3+37+8.3</f>
        <v>288.60000000000002</v>
      </c>
      <c r="AA40" s="116">
        <f t="shared" si="10"/>
        <v>6</v>
      </c>
      <c r="AB40" s="116">
        <v>7.2</v>
      </c>
      <c r="AC40" s="116">
        <f t="shared" si="11"/>
        <v>2077.92</v>
      </c>
      <c r="AD40" s="116">
        <v>0</v>
      </c>
      <c r="AE40" s="116">
        <f t="shared" si="12"/>
        <v>4.666666666666667</v>
      </c>
      <c r="AF40" s="116">
        <v>5.6</v>
      </c>
      <c r="AG40" s="116">
        <f t="shared" si="13"/>
        <v>0</v>
      </c>
      <c r="AH40" s="117">
        <f>29.8+47</f>
        <v>76.8</v>
      </c>
      <c r="AI40" s="116">
        <f t="shared" si="14"/>
        <v>8.3333333333333339</v>
      </c>
      <c r="AJ40" s="116">
        <v>10</v>
      </c>
      <c r="AK40" s="116">
        <f t="shared" si="15"/>
        <v>768</v>
      </c>
      <c r="AL40" s="117">
        <v>36.799999999999997</v>
      </c>
      <c r="AM40" s="116">
        <f t="shared" si="16"/>
        <v>12.750000000000002</v>
      </c>
      <c r="AN40" s="116">
        <v>15.3</v>
      </c>
      <c r="AO40" s="116">
        <f t="shared" si="17"/>
        <v>563.04</v>
      </c>
      <c r="AP40" s="116">
        <f t="shared" si="18"/>
        <v>7145.4666666666662</v>
      </c>
      <c r="AQ40" s="116">
        <f t="shared" si="19"/>
        <v>8574.56</v>
      </c>
      <c r="AR40" s="117">
        <v>398</v>
      </c>
      <c r="AS40" s="116" t="s">
        <v>210</v>
      </c>
      <c r="AT40" s="118">
        <v>0</v>
      </c>
      <c r="AU40" s="118">
        <f t="shared" si="20"/>
        <v>6.1000000000000005</v>
      </c>
      <c r="AV40" s="144">
        <v>7.32</v>
      </c>
      <c r="AW40" s="118">
        <f t="shared" si="23"/>
        <v>2427.8000000000002</v>
      </c>
      <c r="AX40" s="118">
        <f t="shared" si="21"/>
        <v>2913.36</v>
      </c>
      <c r="AY40" s="119">
        <f t="shared" si="22"/>
        <v>9573.2666666666664</v>
      </c>
      <c r="AZ40" s="120">
        <f t="shared" si="24"/>
        <v>11487.92</v>
      </c>
      <c r="BA40" s="9"/>
      <c r="BB40" s="9"/>
      <c r="BC40" s="9"/>
      <c r="BD40" s="9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5"/>
      <c r="CL40" s="35"/>
      <c r="CM40" s="35"/>
      <c r="CN40" s="35"/>
      <c r="CO40" s="35"/>
    </row>
    <row r="41" spans="1:93" s="4" customFormat="1" ht="274.5" outlineLevel="1" x14ac:dyDescent="0.25">
      <c r="A41" s="111">
        <f t="shared" ref="A41:A49" si="66">A40+1</f>
        <v>27</v>
      </c>
      <c r="B41" s="112" t="s">
        <v>16</v>
      </c>
      <c r="C41" s="113" t="s">
        <v>187</v>
      </c>
      <c r="D41" s="114" t="s">
        <v>19</v>
      </c>
      <c r="E41" s="115">
        <f t="shared" si="0"/>
        <v>63</v>
      </c>
      <c r="F41" s="116">
        <v>0</v>
      </c>
      <c r="G41" s="116">
        <f t="shared" si="1"/>
        <v>16.666666666666668</v>
      </c>
      <c r="H41" s="116">
        <v>20</v>
      </c>
      <c r="I41" s="116">
        <f t="shared" si="2"/>
        <v>0</v>
      </c>
      <c r="J41" s="115">
        <v>25.3</v>
      </c>
      <c r="K41" s="116">
        <f t="shared" si="3"/>
        <v>12.916666666666668</v>
      </c>
      <c r="L41" s="116">
        <v>15.5</v>
      </c>
      <c r="M41" s="116">
        <f t="shared" si="4"/>
        <v>392.15000000000003</v>
      </c>
      <c r="N41" s="117">
        <v>35.200000000000003</v>
      </c>
      <c r="O41" s="116">
        <f t="shared" si="5"/>
        <v>4.666666666666667</v>
      </c>
      <c r="P41" s="116">
        <v>5.6</v>
      </c>
      <c r="Q41" s="116">
        <f t="shared" si="6"/>
        <v>197.12</v>
      </c>
      <c r="R41" s="115">
        <v>0</v>
      </c>
      <c r="S41" s="116">
        <f t="shared" si="26"/>
        <v>15.583333333333334</v>
      </c>
      <c r="T41" s="116">
        <v>18.7</v>
      </c>
      <c r="U41" s="116">
        <f t="shared" si="7"/>
        <v>0</v>
      </c>
      <c r="V41" s="116">
        <v>0</v>
      </c>
      <c r="W41" s="116">
        <f t="shared" si="8"/>
        <v>6.416666666666667</v>
      </c>
      <c r="X41" s="116">
        <v>7.7</v>
      </c>
      <c r="Y41" s="116">
        <f t="shared" si="9"/>
        <v>0</v>
      </c>
      <c r="Z41" s="115">
        <v>0</v>
      </c>
      <c r="AA41" s="116">
        <f t="shared" si="10"/>
        <v>6</v>
      </c>
      <c r="AB41" s="116">
        <v>7.2</v>
      </c>
      <c r="AC41" s="116">
        <f t="shared" si="11"/>
        <v>0</v>
      </c>
      <c r="AD41" s="116">
        <v>0</v>
      </c>
      <c r="AE41" s="116">
        <f t="shared" si="12"/>
        <v>4.666666666666667</v>
      </c>
      <c r="AF41" s="116">
        <v>5.6</v>
      </c>
      <c r="AG41" s="116">
        <f t="shared" si="13"/>
        <v>0</v>
      </c>
      <c r="AH41" s="117">
        <v>0</v>
      </c>
      <c r="AI41" s="116">
        <f t="shared" si="14"/>
        <v>8.3333333333333339</v>
      </c>
      <c r="AJ41" s="116">
        <v>10</v>
      </c>
      <c r="AK41" s="116">
        <f t="shared" si="15"/>
        <v>0</v>
      </c>
      <c r="AL41" s="117">
        <v>2.5</v>
      </c>
      <c r="AM41" s="116">
        <f t="shared" si="16"/>
        <v>12.750000000000002</v>
      </c>
      <c r="AN41" s="116">
        <v>15.3</v>
      </c>
      <c r="AO41" s="116">
        <f t="shared" si="17"/>
        <v>38.25</v>
      </c>
      <c r="AP41" s="116">
        <f t="shared" si="18"/>
        <v>522.93333333333339</v>
      </c>
      <c r="AQ41" s="116">
        <f t="shared" si="19"/>
        <v>627.52</v>
      </c>
      <c r="AR41" s="117">
        <v>127</v>
      </c>
      <c r="AS41" s="116" t="s">
        <v>210</v>
      </c>
      <c r="AT41" s="118">
        <v>0</v>
      </c>
      <c r="AU41" s="118">
        <f t="shared" si="20"/>
        <v>6.1000000000000005</v>
      </c>
      <c r="AV41" s="144">
        <v>7.32</v>
      </c>
      <c r="AW41" s="118">
        <f t="shared" si="23"/>
        <v>774.7</v>
      </c>
      <c r="AX41" s="118">
        <f t="shared" si="21"/>
        <v>929.64</v>
      </c>
      <c r="AY41" s="119">
        <f t="shared" si="22"/>
        <v>1297.6333333333334</v>
      </c>
      <c r="AZ41" s="120">
        <f t="shared" si="24"/>
        <v>1557.1599999999999</v>
      </c>
      <c r="BA41" s="9"/>
      <c r="BB41" s="9"/>
      <c r="BC41" s="9"/>
      <c r="BD41" s="9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5"/>
      <c r="CL41" s="35"/>
      <c r="CM41" s="35"/>
      <c r="CN41" s="35"/>
      <c r="CO41" s="35"/>
    </row>
    <row r="42" spans="1:93" s="4" customFormat="1" ht="274.5" outlineLevel="1" x14ac:dyDescent="0.25">
      <c r="A42" s="111">
        <f t="shared" si="66"/>
        <v>28</v>
      </c>
      <c r="B42" s="112" t="s">
        <v>16</v>
      </c>
      <c r="C42" s="113" t="s">
        <v>186</v>
      </c>
      <c r="D42" s="114" t="s">
        <v>19</v>
      </c>
      <c r="E42" s="115">
        <f t="shared" si="0"/>
        <v>185.4</v>
      </c>
      <c r="F42" s="116">
        <v>0</v>
      </c>
      <c r="G42" s="116">
        <f t="shared" si="1"/>
        <v>16.666666666666668</v>
      </c>
      <c r="H42" s="116">
        <v>20</v>
      </c>
      <c r="I42" s="116">
        <f t="shared" si="2"/>
        <v>0</v>
      </c>
      <c r="J42" s="115">
        <v>40</v>
      </c>
      <c r="K42" s="116">
        <f t="shared" si="3"/>
        <v>12.916666666666668</v>
      </c>
      <c r="L42" s="116">
        <v>15.5</v>
      </c>
      <c r="M42" s="116">
        <f t="shared" si="4"/>
        <v>620</v>
      </c>
      <c r="N42" s="117">
        <v>0</v>
      </c>
      <c r="O42" s="116">
        <f t="shared" si="5"/>
        <v>4.666666666666667</v>
      </c>
      <c r="P42" s="116">
        <v>5.6</v>
      </c>
      <c r="Q42" s="116">
        <f t="shared" si="6"/>
        <v>0</v>
      </c>
      <c r="R42" s="115">
        <v>0</v>
      </c>
      <c r="S42" s="116">
        <f t="shared" si="26"/>
        <v>15.583333333333334</v>
      </c>
      <c r="T42" s="116">
        <v>18.7</v>
      </c>
      <c r="U42" s="116">
        <f t="shared" si="7"/>
        <v>0</v>
      </c>
      <c r="V42" s="116">
        <v>0</v>
      </c>
      <c r="W42" s="116">
        <f t="shared" si="8"/>
        <v>6.416666666666667</v>
      </c>
      <c r="X42" s="116">
        <v>7.7</v>
      </c>
      <c r="Y42" s="116">
        <f t="shared" si="9"/>
        <v>0</v>
      </c>
      <c r="Z42" s="115">
        <v>105</v>
      </c>
      <c r="AA42" s="116">
        <f t="shared" si="10"/>
        <v>6</v>
      </c>
      <c r="AB42" s="116">
        <v>7.2</v>
      </c>
      <c r="AC42" s="116">
        <f t="shared" si="11"/>
        <v>756</v>
      </c>
      <c r="AD42" s="116">
        <v>0</v>
      </c>
      <c r="AE42" s="116">
        <f t="shared" si="12"/>
        <v>4.666666666666667</v>
      </c>
      <c r="AF42" s="116">
        <v>5.6</v>
      </c>
      <c r="AG42" s="116">
        <f t="shared" si="13"/>
        <v>0</v>
      </c>
      <c r="AH42" s="117">
        <v>35.799999999999997</v>
      </c>
      <c r="AI42" s="116">
        <f t="shared" si="14"/>
        <v>8.3333333333333339</v>
      </c>
      <c r="AJ42" s="116">
        <v>10</v>
      </c>
      <c r="AK42" s="116">
        <f t="shared" si="15"/>
        <v>358</v>
      </c>
      <c r="AL42" s="117">
        <v>4.5999999999999996</v>
      </c>
      <c r="AM42" s="116">
        <f t="shared" si="16"/>
        <v>12.750000000000002</v>
      </c>
      <c r="AN42" s="116">
        <v>15.3</v>
      </c>
      <c r="AO42" s="116">
        <f t="shared" si="17"/>
        <v>70.38</v>
      </c>
      <c r="AP42" s="116">
        <f t="shared" si="18"/>
        <v>1503.65</v>
      </c>
      <c r="AQ42" s="116">
        <f t="shared" si="19"/>
        <v>1804.38</v>
      </c>
      <c r="AR42" s="117">
        <v>280</v>
      </c>
      <c r="AS42" s="116" t="s">
        <v>210</v>
      </c>
      <c r="AT42" s="118">
        <v>0</v>
      </c>
      <c r="AU42" s="118">
        <f t="shared" si="20"/>
        <v>6.1000000000000005</v>
      </c>
      <c r="AV42" s="144">
        <v>7.32</v>
      </c>
      <c r="AW42" s="118">
        <f t="shared" si="23"/>
        <v>1708.0000000000002</v>
      </c>
      <c r="AX42" s="118">
        <f t="shared" si="21"/>
        <v>2049.6</v>
      </c>
      <c r="AY42" s="119">
        <f t="shared" si="22"/>
        <v>3211.6500000000005</v>
      </c>
      <c r="AZ42" s="120">
        <f t="shared" si="24"/>
        <v>3853.98</v>
      </c>
      <c r="BA42" s="9"/>
      <c r="BB42" s="9"/>
      <c r="BC42" s="9"/>
      <c r="BD42" s="9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5"/>
      <c r="CL42" s="35"/>
      <c r="CM42" s="35"/>
      <c r="CN42" s="35"/>
      <c r="CO42" s="35"/>
    </row>
    <row r="43" spans="1:93" s="4" customFormat="1" ht="366" outlineLevel="1" x14ac:dyDescent="0.25">
      <c r="A43" s="111">
        <f t="shared" si="66"/>
        <v>29</v>
      </c>
      <c r="B43" s="112" t="s">
        <v>193</v>
      </c>
      <c r="C43" s="113" t="s">
        <v>71</v>
      </c>
      <c r="D43" s="114" t="s">
        <v>19</v>
      </c>
      <c r="E43" s="115">
        <f t="shared" si="0"/>
        <v>453.3</v>
      </c>
      <c r="F43" s="116">
        <v>0</v>
      </c>
      <c r="G43" s="116">
        <f t="shared" si="1"/>
        <v>16.666666666666668</v>
      </c>
      <c r="H43" s="116">
        <v>20</v>
      </c>
      <c r="I43" s="116">
        <f t="shared" si="2"/>
        <v>0</v>
      </c>
      <c r="J43" s="115">
        <v>292.3</v>
      </c>
      <c r="K43" s="116">
        <f t="shared" si="3"/>
        <v>12.916666666666668</v>
      </c>
      <c r="L43" s="116">
        <v>15.5</v>
      </c>
      <c r="M43" s="116">
        <f t="shared" si="4"/>
        <v>4530.6500000000005</v>
      </c>
      <c r="N43" s="117">
        <v>0</v>
      </c>
      <c r="O43" s="116">
        <f t="shared" si="5"/>
        <v>4.666666666666667</v>
      </c>
      <c r="P43" s="116">
        <v>5.6</v>
      </c>
      <c r="Q43" s="116">
        <f t="shared" si="6"/>
        <v>0</v>
      </c>
      <c r="R43" s="115">
        <v>0</v>
      </c>
      <c r="S43" s="116">
        <f t="shared" si="26"/>
        <v>15.583333333333334</v>
      </c>
      <c r="T43" s="116">
        <v>18.7</v>
      </c>
      <c r="U43" s="116">
        <f t="shared" si="7"/>
        <v>0</v>
      </c>
      <c r="V43" s="116">
        <v>0</v>
      </c>
      <c r="W43" s="116">
        <f t="shared" si="8"/>
        <v>6.416666666666667</v>
      </c>
      <c r="X43" s="116">
        <v>7.7</v>
      </c>
      <c r="Y43" s="116">
        <f t="shared" si="9"/>
        <v>0</v>
      </c>
      <c r="Z43" s="115">
        <f>50.4+23.8+28.8+18+18+18</f>
        <v>157</v>
      </c>
      <c r="AA43" s="116">
        <f t="shared" si="10"/>
        <v>6</v>
      </c>
      <c r="AB43" s="116">
        <v>7.2</v>
      </c>
      <c r="AC43" s="116">
        <f t="shared" si="11"/>
        <v>1130.4000000000001</v>
      </c>
      <c r="AD43" s="116">
        <v>0</v>
      </c>
      <c r="AE43" s="116">
        <f t="shared" si="12"/>
        <v>4.666666666666667</v>
      </c>
      <c r="AF43" s="116">
        <v>5.6</v>
      </c>
      <c r="AG43" s="116">
        <f t="shared" si="13"/>
        <v>0</v>
      </c>
      <c r="AH43" s="117">
        <v>0</v>
      </c>
      <c r="AI43" s="116">
        <f t="shared" si="14"/>
        <v>8.3333333333333339</v>
      </c>
      <c r="AJ43" s="116">
        <v>10</v>
      </c>
      <c r="AK43" s="116">
        <f t="shared" si="15"/>
        <v>0</v>
      </c>
      <c r="AL43" s="117">
        <v>4</v>
      </c>
      <c r="AM43" s="116">
        <f t="shared" si="16"/>
        <v>12.750000000000002</v>
      </c>
      <c r="AN43" s="116">
        <v>15.3</v>
      </c>
      <c r="AO43" s="116">
        <f t="shared" si="17"/>
        <v>61.2</v>
      </c>
      <c r="AP43" s="116">
        <f t="shared" si="18"/>
        <v>4768.5416666666679</v>
      </c>
      <c r="AQ43" s="116">
        <f t="shared" si="19"/>
        <v>5722.2500000000009</v>
      </c>
      <c r="AR43" s="117">
        <v>955</v>
      </c>
      <c r="AS43" s="116" t="s">
        <v>210</v>
      </c>
      <c r="AT43" s="118">
        <v>0</v>
      </c>
      <c r="AU43" s="118">
        <f t="shared" si="20"/>
        <v>6.1000000000000005</v>
      </c>
      <c r="AV43" s="144">
        <v>7.32</v>
      </c>
      <c r="AW43" s="118">
        <f t="shared" si="23"/>
        <v>5825.5000000000009</v>
      </c>
      <c r="AX43" s="118">
        <f t="shared" si="21"/>
        <v>6990.6</v>
      </c>
      <c r="AY43" s="119">
        <f t="shared" si="22"/>
        <v>10594.041666666668</v>
      </c>
      <c r="AZ43" s="120">
        <f t="shared" si="24"/>
        <v>12712.850000000002</v>
      </c>
      <c r="BA43" s="9"/>
      <c r="BB43" s="9"/>
      <c r="BC43" s="9"/>
      <c r="BD43" s="9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5"/>
      <c r="CL43" s="35"/>
      <c r="CM43" s="35"/>
      <c r="CN43" s="35"/>
      <c r="CO43" s="35"/>
    </row>
    <row r="44" spans="1:93" s="4" customFormat="1" ht="366" outlineLevel="1" x14ac:dyDescent="0.25">
      <c r="A44" s="111">
        <f t="shared" si="66"/>
        <v>30</v>
      </c>
      <c r="B44" s="112" t="s">
        <v>192</v>
      </c>
      <c r="C44" s="113" t="s">
        <v>72</v>
      </c>
      <c r="D44" s="114" t="s">
        <v>19</v>
      </c>
      <c r="E44" s="115">
        <f t="shared" si="0"/>
        <v>739.9</v>
      </c>
      <c r="F44" s="116">
        <v>0</v>
      </c>
      <c r="G44" s="116">
        <f t="shared" si="1"/>
        <v>16.666666666666668</v>
      </c>
      <c r="H44" s="116">
        <v>20</v>
      </c>
      <c r="I44" s="116">
        <f t="shared" si="2"/>
        <v>0</v>
      </c>
      <c r="J44" s="115">
        <v>193.2</v>
      </c>
      <c r="K44" s="116">
        <f t="shared" si="3"/>
        <v>12.916666666666668</v>
      </c>
      <c r="L44" s="116">
        <v>15.5</v>
      </c>
      <c r="M44" s="116">
        <f t="shared" si="4"/>
        <v>2994.6</v>
      </c>
      <c r="N44" s="117">
        <v>111</v>
      </c>
      <c r="O44" s="116">
        <f t="shared" si="5"/>
        <v>4.666666666666667</v>
      </c>
      <c r="P44" s="116">
        <v>5.6</v>
      </c>
      <c r="Q44" s="116">
        <f t="shared" si="6"/>
        <v>621.59999999999991</v>
      </c>
      <c r="R44" s="115">
        <v>0</v>
      </c>
      <c r="S44" s="116">
        <f t="shared" si="26"/>
        <v>15.583333333333334</v>
      </c>
      <c r="T44" s="116">
        <v>18.7</v>
      </c>
      <c r="U44" s="116">
        <f t="shared" si="7"/>
        <v>0</v>
      </c>
      <c r="V44" s="116">
        <v>0</v>
      </c>
      <c r="W44" s="116">
        <f t="shared" si="8"/>
        <v>6.416666666666667</v>
      </c>
      <c r="X44" s="116">
        <v>7.7</v>
      </c>
      <c r="Y44" s="116">
        <f t="shared" si="9"/>
        <v>0</v>
      </c>
      <c r="Z44" s="115">
        <v>162.1</v>
      </c>
      <c r="AA44" s="116">
        <f t="shared" si="10"/>
        <v>6</v>
      </c>
      <c r="AB44" s="116">
        <v>7.2</v>
      </c>
      <c r="AC44" s="116">
        <f t="shared" si="11"/>
        <v>1167.1199999999999</v>
      </c>
      <c r="AD44" s="116">
        <v>0</v>
      </c>
      <c r="AE44" s="116">
        <f t="shared" si="12"/>
        <v>4.666666666666667</v>
      </c>
      <c r="AF44" s="116">
        <v>5.6</v>
      </c>
      <c r="AG44" s="116">
        <f t="shared" si="13"/>
        <v>0</v>
      </c>
      <c r="AH44" s="117">
        <v>241.2</v>
      </c>
      <c r="AI44" s="116">
        <f t="shared" si="14"/>
        <v>8.3333333333333339</v>
      </c>
      <c r="AJ44" s="116">
        <v>10</v>
      </c>
      <c r="AK44" s="116">
        <f t="shared" si="15"/>
        <v>2412</v>
      </c>
      <c r="AL44" s="117">
        <v>32.4</v>
      </c>
      <c r="AM44" s="116">
        <f t="shared" si="16"/>
        <v>12.750000000000002</v>
      </c>
      <c r="AN44" s="116">
        <v>15.3</v>
      </c>
      <c r="AO44" s="116">
        <f t="shared" si="17"/>
        <v>495.72</v>
      </c>
      <c r="AP44" s="116">
        <f t="shared" si="18"/>
        <v>6409.2</v>
      </c>
      <c r="AQ44" s="116">
        <f t="shared" si="19"/>
        <v>7691.04</v>
      </c>
      <c r="AR44" s="117">
        <v>740</v>
      </c>
      <c r="AS44" s="116" t="s">
        <v>210</v>
      </c>
      <c r="AT44" s="118">
        <v>0</v>
      </c>
      <c r="AU44" s="118">
        <f t="shared" si="20"/>
        <v>6.1000000000000005</v>
      </c>
      <c r="AV44" s="144">
        <v>7.32</v>
      </c>
      <c r="AW44" s="118">
        <f t="shared" si="23"/>
        <v>4514</v>
      </c>
      <c r="AX44" s="118">
        <f t="shared" si="21"/>
        <v>5416.8</v>
      </c>
      <c r="AY44" s="119">
        <f t="shared" si="22"/>
        <v>10923.2</v>
      </c>
      <c r="AZ44" s="120">
        <f t="shared" si="24"/>
        <v>13107.84</v>
      </c>
      <c r="BA44" s="9"/>
      <c r="BB44" s="9"/>
      <c r="BC44" s="9"/>
      <c r="BD44" s="9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5"/>
      <c r="CL44" s="35"/>
      <c r="CM44" s="35"/>
      <c r="CN44" s="35"/>
      <c r="CO44" s="35"/>
    </row>
    <row r="45" spans="1:93" s="4" customFormat="1" ht="320.25" outlineLevel="1" x14ac:dyDescent="0.25">
      <c r="A45" s="111">
        <f t="shared" si="66"/>
        <v>31</v>
      </c>
      <c r="B45" s="112" t="s">
        <v>191</v>
      </c>
      <c r="C45" s="113" t="s">
        <v>74</v>
      </c>
      <c r="D45" s="114" t="s">
        <v>19</v>
      </c>
      <c r="E45" s="115">
        <f t="shared" si="0"/>
        <v>341.8</v>
      </c>
      <c r="F45" s="116">
        <v>0</v>
      </c>
      <c r="G45" s="116">
        <f t="shared" si="1"/>
        <v>16.666666666666668</v>
      </c>
      <c r="H45" s="116">
        <v>20</v>
      </c>
      <c r="I45" s="116">
        <f t="shared" si="2"/>
        <v>0</v>
      </c>
      <c r="J45" s="115">
        <v>116.4</v>
      </c>
      <c r="K45" s="116">
        <f t="shared" si="3"/>
        <v>12.916666666666668</v>
      </c>
      <c r="L45" s="116">
        <v>15.5</v>
      </c>
      <c r="M45" s="116">
        <f t="shared" si="4"/>
        <v>1804.2</v>
      </c>
      <c r="N45" s="117">
        <v>20.2</v>
      </c>
      <c r="O45" s="116">
        <f t="shared" si="5"/>
        <v>4.666666666666667</v>
      </c>
      <c r="P45" s="116">
        <v>5.6</v>
      </c>
      <c r="Q45" s="116">
        <f t="shared" si="6"/>
        <v>113.11999999999999</v>
      </c>
      <c r="R45" s="115">
        <v>0</v>
      </c>
      <c r="S45" s="116">
        <f t="shared" si="26"/>
        <v>15.583333333333334</v>
      </c>
      <c r="T45" s="116">
        <v>18.7</v>
      </c>
      <c r="U45" s="116">
        <f t="shared" si="7"/>
        <v>0</v>
      </c>
      <c r="V45" s="116">
        <v>94.5</v>
      </c>
      <c r="W45" s="116">
        <f t="shared" si="8"/>
        <v>6.416666666666667</v>
      </c>
      <c r="X45" s="116">
        <v>7.7</v>
      </c>
      <c r="Y45" s="116">
        <f t="shared" si="9"/>
        <v>727.65</v>
      </c>
      <c r="Z45" s="115">
        <v>74.3</v>
      </c>
      <c r="AA45" s="116">
        <f t="shared" si="10"/>
        <v>6</v>
      </c>
      <c r="AB45" s="116">
        <v>7.2</v>
      </c>
      <c r="AC45" s="116">
        <f t="shared" si="11"/>
        <v>534.96</v>
      </c>
      <c r="AD45" s="116">
        <v>0</v>
      </c>
      <c r="AE45" s="116">
        <f t="shared" si="12"/>
        <v>4.666666666666667</v>
      </c>
      <c r="AF45" s="116">
        <v>5.6</v>
      </c>
      <c r="AG45" s="116">
        <f t="shared" si="13"/>
        <v>0</v>
      </c>
      <c r="AH45" s="117">
        <v>24.3</v>
      </c>
      <c r="AI45" s="116">
        <f t="shared" si="14"/>
        <v>8.3333333333333339</v>
      </c>
      <c r="AJ45" s="116">
        <v>10</v>
      </c>
      <c r="AK45" s="116">
        <f t="shared" si="15"/>
        <v>243</v>
      </c>
      <c r="AL45" s="117">
        <f>12.1</f>
        <v>12.1</v>
      </c>
      <c r="AM45" s="116">
        <f t="shared" si="16"/>
        <v>12.750000000000002</v>
      </c>
      <c r="AN45" s="116">
        <v>15.3</v>
      </c>
      <c r="AO45" s="116">
        <f t="shared" si="17"/>
        <v>185.13</v>
      </c>
      <c r="AP45" s="116">
        <f t="shared" si="18"/>
        <v>3006.7166666666667</v>
      </c>
      <c r="AQ45" s="116">
        <f t="shared" si="19"/>
        <v>3608.06</v>
      </c>
      <c r="AR45" s="117">
        <v>537</v>
      </c>
      <c r="AS45" s="116" t="s">
        <v>210</v>
      </c>
      <c r="AT45" s="118">
        <v>0</v>
      </c>
      <c r="AU45" s="118">
        <f t="shared" si="20"/>
        <v>6.1000000000000005</v>
      </c>
      <c r="AV45" s="144">
        <v>7.32</v>
      </c>
      <c r="AW45" s="118">
        <f t="shared" si="23"/>
        <v>3275.7000000000003</v>
      </c>
      <c r="AX45" s="118">
        <f t="shared" si="21"/>
        <v>3930.84</v>
      </c>
      <c r="AY45" s="119">
        <f t="shared" si="22"/>
        <v>6282.416666666667</v>
      </c>
      <c r="AZ45" s="120">
        <f t="shared" si="24"/>
        <v>7538.9</v>
      </c>
      <c r="BA45" s="9"/>
      <c r="BB45" s="9"/>
      <c r="BC45" s="9"/>
      <c r="BD45" s="9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5"/>
      <c r="CL45" s="35"/>
      <c r="CM45" s="35"/>
      <c r="CN45" s="35"/>
      <c r="CO45" s="35"/>
    </row>
    <row r="46" spans="1:93" s="4" customFormat="1" ht="320.25" outlineLevel="1" x14ac:dyDescent="0.25">
      <c r="A46" s="111">
        <f>A45+1</f>
        <v>32</v>
      </c>
      <c r="B46" s="112" t="s">
        <v>189</v>
      </c>
      <c r="C46" s="113" t="s">
        <v>75</v>
      </c>
      <c r="D46" s="114" t="s">
        <v>19</v>
      </c>
      <c r="E46" s="115">
        <f t="shared" si="0"/>
        <v>284.3</v>
      </c>
      <c r="F46" s="116">
        <v>0</v>
      </c>
      <c r="G46" s="116">
        <f t="shared" si="1"/>
        <v>16.666666666666668</v>
      </c>
      <c r="H46" s="116">
        <v>20</v>
      </c>
      <c r="I46" s="116">
        <f t="shared" si="2"/>
        <v>0</v>
      </c>
      <c r="J46" s="115">
        <v>78.400000000000006</v>
      </c>
      <c r="K46" s="116">
        <f t="shared" si="3"/>
        <v>12.916666666666668</v>
      </c>
      <c r="L46" s="116">
        <v>15.5</v>
      </c>
      <c r="M46" s="116">
        <f t="shared" si="4"/>
        <v>1215.2</v>
      </c>
      <c r="N46" s="117">
        <v>44.1</v>
      </c>
      <c r="O46" s="116">
        <f t="shared" si="5"/>
        <v>4.666666666666667</v>
      </c>
      <c r="P46" s="116">
        <v>5.6</v>
      </c>
      <c r="Q46" s="116">
        <f t="shared" si="6"/>
        <v>246.95999999999998</v>
      </c>
      <c r="R46" s="115">
        <v>0</v>
      </c>
      <c r="S46" s="116">
        <f t="shared" si="26"/>
        <v>15.583333333333334</v>
      </c>
      <c r="T46" s="116">
        <v>18.7</v>
      </c>
      <c r="U46" s="116">
        <f t="shared" si="7"/>
        <v>0</v>
      </c>
      <c r="V46" s="116">
        <v>0</v>
      </c>
      <c r="W46" s="116">
        <f t="shared" si="8"/>
        <v>6.416666666666667</v>
      </c>
      <c r="X46" s="116">
        <v>7.7</v>
      </c>
      <c r="Y46" s="116">
        <f t="shared" si="9"/>
        <v>0</v>
      </c>
      <c r="Z46" s="115">
        <v>73.599999999999994</v>
      </c>
      <c r="AA46" s="116">
        <f t="shared" si="10"/>
        <v>6</v>
      </c>
      <c r="AB46" s="116">
        <v>7.2</v>
      </c>
      <c r="AC46" s="116">
        <f t="shared" si="11"/>
        <v>529.91999999999996</v>
      </c>
      <c r="AD46" s="116">
        <v>0</v>
      </c>
      <c r="AE46" s="116">
        <f t="shared" si="12"/>
        <v>4.666666666666667</v>
      </c>
      <c r="AF46" s="116">
        <v>5.6</v>
      </c>
      <c r="AG46" s="116">
        <f t="shared" si="13"/>
        <v>0</v>
      </c>
      <c r="AH46" s="117">
        <v>80.2</v>
      </c>
      <c r="AI46" s="116">
        <f t="shared" si="14"/>
        <v>8.3333333333333339</v>
      </c>
      <c r="AJ46" s="116">
        <v>10</v>
      </c>
      <c r="AK46" s="116">
        <f t="shared" si="15"/>
        <v>802</v>
      </c>
      <c r="AL46" s="117">
        <v>8</v>
      </c>
      <c r="AM46" s="116">
        <f t="shared" si="16"/>
        <v>12.750000000000002</v>
      </c>
      <c r="AN46" s="116">
        <v>15.3</v>
      </c>
      <c r="AO46" s="116">
        <f t="shared" si="17"/>
        <v>122.4</v>
      </c>
      <c r="AP46" s="116">
        <f t="shared" si="18"/>
        <v>2430.4</v>
      </c>
      <c r="AQ46" s="116">
        <f t="shared" si="19"/>
        <v>2916.48</v>
      </c>
      <c r="AR46" s="117">
        <v>730</v>
      </c>
      <c r="AS46" s="116" t="s">
        <v>210</v>
      </c>
      <c r="AT46" s="118">
        <v>0</v>
      </c>
      <c r="AU46" s="118">
        <f t="shared" si="20"/>
        <v>6.1000000000000005</v>
      </c>
      <c r="AV46" s="144">
        <v>7.32</v>
      </c>
      <c r="AW46" s="118">
        <f t="shared" si="23"/>
        <v>4453</v>
      </c>
      <c r="AX46" s="118">
        <f t="shared" si="21"/>
        <v>5343.6</v>
      </c>
      <c r="AY46" s="119">
        <f t="shared" si="22"/>
        <v>6883.4</v>
      </c>
      <c r="AZ46" s="120">
        <f t="shared" si="24"/>
        <v>8260.08</v>
      </c>
      <c r="BA46" s="9"/>
      <c r="BB46" s="9"/>
      <c r="BC46" s="9"/>
      <c r="BD46" s="9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5"/>
      <c r="CL46" s="35"/>
      <c r="CM46" s="35"/>
      <c r="CN46" s="35"/>
      <c r="CO46" s="35"/>
    </row>
    <row r="47" spans="1:93" s="4" customFormat="1" ht="366" outlineLevel="1" x14ac:dyDescent="0.25">
      <c r="A47" s="111">
        <f t="shared" si="66"/>
        <v>33</v>
      </c>
      <c r="B47" s="112" t="s">
        <v>190</v>
      </c>
      <c r="C47" s="113" t="s">
        <v>76</v>
      </c>
      <c r="D47" s="114" t="s">
        <v>19</v>
      </c>
      <c r="E47" s="115">
        <f t="shared" si="0"/>
        <v>480.50000000000006</v>
      </c>
      <c r="F47" s="116">
        <v>0</v>
      </c>
      <c r="G47" s="116">
        <f t="shared" si="1"/>
        <v>16.666666666666668</v>
      </c>
      <c r="H47" s="116">
        <v>20</v>
      </c>
      <c r="I47" s="116">
        <f t="shared" si="2"/>
        <v>0</v>
      </c>
      <c r="J47" s="115">
        <v>188.7</v>
      </c>
      <c r="K47" s="116">
        <f t="shared" si="3"/>
        <v>12.916666666666668</v>
      </c>
      <c r="L47" s="116">
        <v>15.5</v>
      </c>
      <c r="M47" s="116">
        <f t="shared" si="4"/>
        <v>2924.85</v>
      </c>
      <c r="N47" s="117">
        <v>37</v>
      </c>
      <c r="O47" s="116">
        <f t="shared" si="5"/>
        <v>4.666666666666667</v>
      </c>
      <c r="P47" s="116">
        <v>5.6</v>
      </c>
      <c r="Q47" s="116">
        <f t="shared" si="6"/>
        <v>207.2</v>
      </c>
      <c r="R47" s="115">
        <v>0</v>
      </c>
      <c r="S47" s="116">
        <f t="shared" si="26"/>
        <v>15.583333333333334</v>
      </c>
      <c r="T47" s="116">
        <v>18.7</v>
      </c>
      <c r="U47" s="116">
        <f t="shared" si="7"/>
        <v>0</v>
      </c>
      <c r="V47" s="116">
        <v>32.1</v>
      </c>
      <c r="W47" s="116">
        <f t="shared" si="8"/>
        <v>6.416666666666667</v>
      </c>
      <c r="X47" s="116">
        <v>7.7</v>
      </c>
      <c r="Y47" s="116">
        <f t="shared" si="9"/>
        <v>247.17000000000002</v>
      </c>
      <c r="Z47" s="115">
        <v>160.9</v>
      </c>
      <c r="AA47" s="116">
        <f t="shared" si="10"/>
        <v>6</v>
      </c>
      <c r="AB47" s="116">
        <v>7.2</v>
      </c>
      <c r="AC47" s="116">
        <f t="shared" si="11"/>
        <v>1158.48</v>
      </c>
      <c r="AD47" s="116">
        <v>0</v>
      </c>
      <c r="AE47" s="116">
        <f t="shared" si="12"/>
        <v>4.666666666666667</v>
      </c>
      <c r="AF47" s="116">
        <v>5.6</v>
      </c>
      <c r="AG47" s="116">
        <f t="shared" si="13"/>
        <v>0</v>
      </c>
      <c r="AH47" s="117">
        <v>54.2</v>
      </c>
      <c r="AI47" s="116">
        <f t="shared" si="14"/>
        <v>8.3333333333333339</v>
      </c>
      <c r="AJ47" s="116">
        <v>10</v>
      </c>
      <c r="AK47" s="116">
        <f t="shared" si="15"/>
        <v>542</v>
      </c>
      <c r="AL47" s="117">
        <v>7.6</v>
      </c>
      <c r="AM47" s="116">
        <f t="shared" si="16"/>
        <v>12.750000000000002</v>
      </c>
      <c r="AN47" s="116">
        <v>15.3</v>
      </c>
      <c r="AO47" s="116">
        <f t="shared" si="17"/>
        <v>116.28</v>
      </c>
      <c r="AP47" s="116">
        <f t="shared" si="18"/>
        <v>4329.9833333333336</v>
      </c>
      <c r="AQ47" s="116">
        <f t="shared" si="19"/>
        <v>5195.9799999999996</v>
      </c>
      <c r="AR47" s="117">
        <v>240</v>
      </c>
      <c r="AS47" s="116" t="s">
        <v>210</v>
      </c>
      <c r="AT47" s="118">
        <v>0</v>
      </c>
      <c r="AU47" s="118">
        <f t="shared" si="20"/>
        <v>6.1000000000000005</v>
      </c>
      <c r="AV47" s="144">
        <v>7.32</v>
      </c>
      <c r="AW47" s="118">
        <f t="shared" si="23"/>
        <v>1464.0000000000002</v>
      </c>
      <c r="AX47" s="118">
        <f t="shared" si="21"/>
        <v>1756.8000000000002</v>
      </c>
      <c r="AY47" s="119">
        <f t="shared" si="22"/>
        <v>5793.9833333333336</v>
      </c>
      <c r="AZ47" s="120">
        <f t="shared" si="24"/>
        <v>6952.78</v>
      </c>
      <c r="BA47" s="9"/>
      <c r="BB47" s="9"/>
      <c r="BC47" s="9"/>
      <c r="BD47" s="9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5"/>
      <c r="CL47" s="35"/>
      <c r="CM47" s="35"/>
      <c r="CN47" s="35"/>
      <c r="CO47" s="35"/>
    </row>
    <row r="48" spans="1:93" s="4" customFormat="1" ht="228.75" outlineLevel="1" x14ac:dyDescent="0.25">
      <c r="A48" s="111">
        <f t="shared" si="66"/>
        <v>34</v>
      </c>
      <c r="B48" s="112" t="s">
        <v>230</v>
      </c>
      <c r="C48" s="113" t="s">
        <v>80</v>
      </c>
      <c r="D48" s="114" t="s">
        <v>19</v>
      </c>
      <c r="E48" s="115">
        <f t="shared" si="0"/>
        <v>925.2</v>
      </c>
      <c r="F48" s="116">
        <v>0</v>
      </c>
      <c r="G48" s="116">
        <f t="shared" si="1"/>
        <v>16.666666666666668</v>
      </c>
      <c r="H48" s="116">
        <v>20</v>
      </c>
      <c r="I48" s="116">
        <f>H48*F48</f>
        <v>0</v>
      </c>
      <c r="J48" s="115">
        <v>412.6</v>
      </c>
      <c r="K48" s="116">
        <f t="shared" si="3"/>
        <v>12.916666666666668</v>
      </c>
      <c r="L48" s="116">
        <v>15.5</v>
      </c>
      <c r="M48" s="116">
        <f>L48*J48</f>
        <v>6395.3</v>
      </c>
      <c r="N48" s="117">
        <v>137.4</v>
      </c>
      <c r="O48" s="116">
        <f t="shared" si="5"/>
        <v>4.666666666666667</v>
      </c>
      <c r="P48" s="116">
        <v>5.6</v>
      </c>
      <c r="Q48" s="116">
        <f>P48*N48</f>
        <v>769.43999999999994</v>
      </c>
      <c r="R48" s="115">
        <v>0</v>
      </c>
      <c r="S48" s="116">
        <f t="shared" si="26"/>
        <v>15.583333333333334</v>
      </c>
      <c r="T48" s="116">
        <v>18.7</v>
      </c>
      <c r="U48" s="116">
        <f>T48*R48</f>
        <v>0</v>
      </c>
      <c r="V48" s="116">
        <v>29.4</v>
      </c>
      <c r="W48" s="116">
        <f t="shared" si="8"/>
        <v>6.416666666666667</v>
      </c>
      <c r="X48" s="116">
        <v>7.7</v>
      </c>
      <c r="Y48" s="116">
        <f>X48*V48</f>
        <v>226.38</v>
      </c>
      <c r="Z48" s="115">
        <v>50.1</v>
      </c>
      <c r="AA48" s="116">
        <f t="shared" si="10"/>
        <v>6</v>
      </c>
      <c r="AB48" s="116">
        <v>7.2</v>
      </c>
      <c r="AC48" s="116">
        <f>AB48*Z48</f>
        <v>360.72</v>
      </c>
      <c r="AD48" s="116">
        <v>0</v>
      </c>
      <c r="AE48" s="116">
        <f t="shared" si="12"/>
        <v>4.666666666666667</v>
      </c>
      <c r="AF48" s="116">
        <v>5.6</v>
      </c>
      <c r="AG48" s="116">
        <f>AF48*AD48</f>
        <v>0</v>
      </c>
      <c r="AH48" s="117">
        <v>292.5</v>
      </c>
      <c r="AI48" s="116">
        <f t="shared" si="14"/>
        <v>8.3333333333333339</v>
      </c>
      <c r="AJ48" s="116">
        <v>10</v>
      </c>
      <c r="AK48" s="116">
        <f>AJ48*AH48</f>
        <v>2925</v>
      </c>
      <c r="AL48" s="117">
        <v>3.2</v>
      </c>
      <c r="AM48" s="116">
        <f t="shared" si="16"/>
        <v>12.750000000000002</v>
      </c>
      <c r="AN48" s="116">
        <v>15.3</v>
      </c>
      <c r="AO48" s="116">
        <f>AN48*AL48</f>
        <v>48.960000000000008</v>
      </c>
      <c r="AP48" s="116">
        <f t="shared" si="18"/>
        <v>8938.1666666666661</v>
      </c>
      <c r="AQ48" s="116">
        <f t="shared" si="19"/>
        <v>10725.8</v>
      </c>
      <c r="AR48" s="117">
        <v>894</v>
      </c>
      <c r="AS48" s="116" t="s">
        <v>210</v>
      </c>
      <c r="AT48" s="118">
        <v>0</v>
      </c>
      <c r="AU48" s="118">
        <f t="shared" si="20"/>
        <v>6.1000000000000005</v>
      </c>
      <c r="AV48" s="144">
        <v>7.32</v>
      </c>
      <c r="AW48" s="118">
        <f>AU48*AR48</f>
        <v>5453.4000000000005</v>
      </c>
      <c r="AX48" s="118">
        <f>AV48*AR48</f>
        <v>6544.08</v>
      </c>
      <c r="AY48" s="119">
        <f t="shared" si="22"/>
        <v>14391.566666666666</v>
      </c>
      <c r="AZ48" s="120">
        <f t="shared" si="24"/>
        <v>17269.879999999997</v>
      </c>
      <c r="BA48" s="9"/>
      <c r="BB48" s="9"/>
      <c r="BC48" s="9"/>
      <c r="BD48" s="9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5"/>
      <c r="CL48" s="35"/>
      <c r="CM48" s="35"/>
      <c r="CN48" s="35"/>
      <c r="CO48" s="35"/>
    </row>
    <row r="49" spans="1:93" s="4" customFormat="1" ht="409.5" outlineLevel="1" x14ac:dyDescent="0.25">
      <c r="A49" s="111">
        <f t="shared" si="66"/>
        <v>35</v>
      </c>
      <c r="B49" s="112" t="s">
        <v>21</v>
      </c>
      <c r="C49" s="113" t="s">
        <v>79</v>
      </c>
      <c r="D49" s="114" t="s">
        <v>19</v>
      </c>
      <c r="E49" s="115">
        <f t="shared" si="0"/>
        <v>587.80000000000007</v>
      </c>
      <c r="F49" s="116">
        <v>0</v>
      </c>
      <c r="G49" s="116">
        <f t="shared" si="1"/>
        <v>16.666666666666668</v>
      </c>
      <c r="H49" s="116">
        <v>20</v>
      </c>
      <c r="I49" s="116">
        <f>H49*F49</f>
        <v>0</v>
      </c>
      <c r="J49" s="115">
        <v>435.6</v>
      </c>
      <c r="K49" s="116">
        <f t="shared" si="3"/>
        <v>12.916666666666668</v>
      </c>
      <c r="L49" s="116">
        <v>15.5</v>
      </c>
      <c r="M49" s="116">
        <f>L49*J49</f>
        <v>6751.8</v>
      </c>
      <c r="N49" s="117">
        <v>12</v>
      </c>
      <c r="O49" s="116">
        <f t="shared" si="5"/>
        <v>4.666666666666667</v>
      </c>
      <c r="P49" s="116">
        <v>5.6</v>
      </c>
      <c r="Q49" s="116">
        <f>P49*N49</f>
        <v>67.199999999999989</v>
      </c>
      <c r="R49" s="115">
        <v>0</v>
      </c>
      <c r="S49" s="116">
        <f t="shared" si="26"/>
        <v>15.583333333333334</v>
      </c>
      <c r="T49" s="116">
        <v>18.7</v>
      </c>
      <c r="U49" s="116">
        <f>T49*R49</f>
        <v>0</v>
      </c>
      <c r="V49" s="116">
        <v>24.6</v>
      </c>
      <c r="W49" s="116">
        <f t="shared" si="8"/>
        <v>6.416666666666667</v>
      </c>
      <c r="X49" s="116">
        <v>7.7</v>
      </c>
      <c r="Y49" s="116">
        <f>X49*V49</f>
        <v>189.42000000000002</v>
      </c>
      <c r="Z49" s="115">
        <v>0</v>
      </c>
      <c r="AA49" s="116">
        <f t="shared" si="10"/>
        <v>6</v>
      </c>
      <c r="AB49" s="116">
        <v>7.2</v>
      </c>
      <c r="AC49" s="116">
        <f>AB49*Z49</f>
        <v>0</v>
      </c>
      <c r="AD49" s="116">
        <v>0</v>
      </c>
      <c r="AE49" s="116">
        <f t="shared" si="12"/>
        <v>4.666666666666667</v>
      </c>
      <c r="AF49" s="116">
        <v>5.6</v>
      </c>
      <c r="AG49" s="116">
        <f>AF49*AD49</f>
        <v>0</v>
      </c>
      <c r="AH49" s="117">
        <v>102.6</v>
      </c>
      <c r="AI49" s="116">
        <f t="shared" si="14"/>
        <v>8.3333333333333339</v>
      </c>
      <c r="AJ49" s="116">
        <v>10</v>
      </c>
      <c r="AK49" s="116">
        <f>AJ49*AH49</f>
        <v>1026</v>
      </c>
      <c r="AL49" s="117">
        <v>13</v>
      </c>
      <c r="AM49" s="116">
        <f t="shared" si="16"/>
        <v>12.750000000000002</v>
      </c>
      <c r="AN49" s="116">
        <v>15.3</v>
      </c>
      <c r="AO49" s="116">
        <f>AN49*AL49</f>
        <v>198.9</v>
      </c>
      <c r="AP49" s="116">
        <f t="shared" si="18"/>
        <v>6861.1</v>
      </c>
      <c r="AQ49" s="116">
        <f t="shared" si="19"/>
        <v>8233.32</v>
      </c>
      <c r="AR49" s="117">
        <v>350</v>
      </c>
      <c r="AS49" s="116" t="s">
        <v>210</v>
      </c>
      <c r="AT49" s="118">
        <v>0</v>
      </c>
      <c r="AU49" s="118">
        <f t="shared" si="20"/>
        <v>6.1000000000000005</v>
      </c>
      <c r="AV49" s="144">
        <v>7.32</v>
      </c>
      <c r="AW49" s="118">
        <f>AU49*AR49</f>
        <v>2135</v>
      </c>
      <c r="AX49" s="118">
        <f>AV49*AR49</f>
        <v>2562</v>
      </c>
      <c r="AY49" s="119">
        <f t="shared" si="22"/>
        <v>8996.1</v>
      </c>
      <c r="AZ49" s="120">
        <f t="shared" si="24"/>
        <v>10795.32</v>
      </c>
      <c r="BA49" s="9"/>
      <c r="BB49" s="9"/>
      <c r="BC49" s="9"/>
      <c r="BD49" s="9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5"/>
      <c r="CL49" s="35"/>
      <c r="CM49" s="35"/>
      <c r="CN49" s="35"/>
      <c r="CO49" s="35"/>
    </row>
    <row r="50" spans="1:93" s="4" customFormat="1" ht="45.75" outlineLevel="1" x14ac:dyDescent="0.25">
      <c r="A50" s="160" t="s">
        <v>156</v>
      </c>
      <c r="B50" s="161"/>
      <c r="C50" s="161"/>
      <c r="D50" s="124"/>
      <c r="E50" s="115"/>
      <c r="F50" s="124"/>
      <c r="G50" s="116"/>
      <c r="H50" s="124"/>
      <c r="I50" s="124"/>
      <c r="J50" s="124"/>
      <c r="K50" s="116"/>
      <c r="L50" s="116"/>
      <c r="M50" s="124"/>
      <c r="N50" s="124"/>
      <c r="O50" s="116"/>
      <c r="P50" s="116"/>
      <c r="Q50" s="124"/>
      <c r="R50" s="124"/>
      <c r="S50" s="116"/>
      <c r="T50" s="116"/>
      <c r="U50" s="124"/>
      <c r="V50" s="124"/>
      <c r="W50" s="116"/>
      <c r="X50" s="116"/>
      <c r="Y50" s="124"/>
      <c r="Z50" s="124"/>
      <c r="AA50" s="116"/>
      <c r="AB50" s="116"/>
      <c r="AC50" s="124"/>
      <c r="AD50" s="124"/>
      <c r="AE50" s="116"/>
      <c r="AF50" s="116"/>
      <c r="AG50" s="124"/>
      <c r="AH50" s="124"/>
      <c r="AI50" s="116"/>
      <c r="AJ50" s="116"/>
      <c r="AK50" s="124"/>
      <c r="AL50" s="124"/>
      <c r="AM50" s="116"/>
      <c r="AN50" s="116"/>
      <c r="AO50" s="124"/>
      <c r="AP50" s="116"/>
      <c r="AQ50" s="129"/>
      <c r="AR50" s="124"/>
      <c r="AS50" s="116"/>
      <c r="AT50" s="126"/>
      <c r="AU50" s="118"/>
      <c r="AV50" s="144"/>
      <c r="AW50" s="126"/>
      <c r="AX50" s="126"/>
      <c r="AY50" s="127"/>
      <c r="AZ50" s="130"/>
      <c r="BA50" s="9"/>
      <c r="BB50" s="9"/>
      <c r="BC50" s="9"/>
      <c r="BD50" s="9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5"/>
      <c r="CL50" s="35"/>
      <c r="CM50" s="35"/>
      <c r="CN50" s="35"/>
      <c r="CO50" s="35"/>
    </row>
    <row r="51" spans="1:93" s="35" customFormat="1" ht="409.5" outlineLevel="1" x14ac:dyDescent="0.25">
      <c r="A51" s="111">
        <f>A49+1</f>
        <v>36</v>
      </c>
      <c r="B51" s="112" t="s">
        <v>21</v>
      </c>
      <c r="C51" s="113" t="s">
        <v>153</v>
      </c>
      <c r="D51" s="114" t="s">
        <v>19</v>
      </c>
      <c r="E51" s="115">
        <f t="shared" si="0"/>
        <v>629.4</v>
      </c>
      <c r="F51" s="116">
        <v>0</v>
      </c>
      <c r="G51" s="116">
        <f t="shared" si="1"/>
        <v>16.666666666666668</v>
      </c>
      <c r="H51" s="116">
        <v>20</v>
      </c>
      <c r="I51" s="116">
        <f>H51*F51</f>
        <v>0</v>
      </c>
      <c r="J51" s="115">
        <v>92.4</v>
      </c>
      <c r="K51" s="116">
        <f t="shared" si="3"/>
        <v>12.916666666666668</v>
      </c>
      <c r="L51" s="116">
        <v>15.5</v>
      </c>
      <c r="M51" s="116">
        <f>L51*J51</f>
        <v>1432.2</v>
      </c>
      <c r="N51" s="117">
        <v>76.2</v>
      </c>
      <c r="O51" s="116">
        <f t="shared" si="5"/>
        <v>4.666666666666667</v>
      </c>
      <c r="P51" s="116">
        <v>5.6</v>
      </c>
      <c r="Q51" s="116">
        <f>P51*N51</f>
        <v>426.71999999999997</v>
      </c>
      <c r="R51" s="115">
        <v>0</v>
      </c>
      <c r="S51" s="116">
        <f t="shared" si="26"/>
        <v>15.583333333333334</v>
      </c>
      <c r="T51" s="116">
        <v>18.7</v>
      </c>
      <c r="U51" s="116">
        <f>T51*R51</f>
        <v>0</v>
      </c>
      <c r="V51" s="116">
        <v>121.9</v>
      </c>
      <c r="W51" s="116">
        <f t="shared" si="8"/>
        <v>6.416666666666667</v>
      </c>
      <c r="X51" s="116">
        <v>7.7</v>
      </c>
      <c r="Y51" s="116">
        <f>X51*V51</f>
        <v>938.63000000000011</v>
      </c>
      <c r="Z51" s="115">
        <v>53</v>
      </c>
      <c r="AA51" s="116">
        <f t="shared" si="10"/>
        <v>6</v>
      </c>
      <c r="AB51" s="116">
        <v>7.2</v>
      </c>
      <c r="AC51" s="116">
        <f>AB51*Z51</f>
        <v>381.6</v>
      </c>
      <c r="AD51" s="116">
        <v>0</v>
      </c>
      <c r="AE51" s="116">
        <f t="shared" si="12"/>
        <v>4.666666666666667</v>
      </c>
      <c r="AF51" s="116">
        <v>5.6</v>
      </c>
      <c r="AG51" s="116">
        <f>AF51*AD51</f>
        <v>0</v>
      </c>
      <c r="AH51" s="117">
        <v>276.39999999999998</v>
      </c>
      <c r="AI51" s="116">
        <f t="shared" si="14"/>
        <v>8.3333333333333339</v>
      </c>
      <c r="AJ51" s="116">
        <v>10</v>
      </c>
      <c r="AK51" s="116">
        <f>AJ51*AH51</f>
        <v>2764</v>
      </c>
      <c r="AL51" s="117">
        <v>9.5</v>
      </c>
      <c r="AM51" s="116">
        <f t="shared" si="16"/>
        <v>12.750000000000002</v>
      </c>
      <c r="AN51" s="116">
        <v>15.3</v>
      </c>
      <c r="AO51" s="116">
        <f>AN51*AL51</f>
        <v>145.35</v>
      </c>
      <c r="AP51" s="116">
        <f t="shared" si="18"/>
        <v>5073.75</v>
      </c>
      <c r="AQ51" s="116">
        <f t="shared" si="19"/>
        <v>6088.5</v>
      </c>
      <c r="AR51" s="117">
        <v>393</v>
      </c>
      <c r="AS51" s="116" t="s">
        <v>210</v>
      </c>
      <c r="AT51" s="118">
        <v>0</v>
      </c>
      <c r="AU51" s="118">
        <f t="shared" si="20"/>
        <v>6.1000000000000005</v>
      </c>
      <c r="AV51" s="144">
        <v>7.32</v>
      </c>
      <c r="AW51" s="118">
        <f>AU51*AR51</f>
        <v>2397.3000000000002</v>
      </c>
      <c r="AX51" s="118">
        <f>AV51*AR51</f>
        <v>2876.76</v>
      </c>
      <c r="AY51" s="119">
        <f t="shared" si="22"/>
        <v>7471.05</v>
      </c>
      <c r="AZ51" s="120">
        <f t="shared" si="24"/>
        <v>8965.26</v>
      </c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</row>
    <row r="52" spans="1:93" s="35" customFormat="1" ht="228.75" outlineLevel="1" x14ac:dyDescent="0.25">
      <c r="A52" s="111">
        <f>A51+1</f>
        <v>37</v>
      </c>
      <c r="B52" s="112" t="s">
        <v>21</v>
      </c>
      <c r="C52" s="113" t="s">
        <v>73</v>
      </c>
      <c r="D52" s="114" t="s">
        <v>19</v>
      </c>
      <c r="E52" s="115">
        <f t="shared" si="0"/>
        <v>991</v>
      </c>
      <c r="F52" s="116">
        <v>0</v>
      </c>
      <c r="G52" s="116">
        <f t="shared" si="1"/>
        <v>16.666666666666668</v>
      </c>
      <c r="H52" s="116">
        <v>20</v>
      </c>
      <c r="I52" s="116">
        <f>H52*F52</f>
        <v>0</v>
      </c>
      <c r="J52" s="115">
        <f>63.4+67.6</f>
        <v>131</v>
      </c>
      <c r="K52" s="116">
        <f t="shared" si="3"/>
        <v>12.916666666666668</v>
      </c>
      <c r="L52" s="116">
        <v>15.5</v>
      </c>
      <c r="M52" s="116">
        <f>L52*J52</f>
        <v>2030.5</v>
      </c>
      <c r="N52" s="117">
        <f>20.6+86.3+34.3+160.8+32.6+65.5+35+196.4+136.1</f>
        <v>767.6</v>
      </c>
      <c r="O52" s="116">
        <f t="shared" si="5"/>
        <v>4.666666666666667</v>
      </c>
      <c r="P52" s="116">
        <v>5.6</v>
      </c>
      <c r="Q52" s="116">
        <f>P52*N52</f>
        <v>4298.5599999999995</v>
      </c>
      <c r="R52" s="115">
        <v>0</v>
      </c>
      <c r="S52" s="116">
        <f t="shared" si="26"/>
        <v>15.583333333333334</v>
      </c>
      <c r="T52" s="116">
        <v>18.7</v>
      </c>
      <c r="U52" s="116">
        <f>T52*R52</f>
        <v>0</v>
      </c>
      <c r="V52" s="116">
        <v>0</v>
      </c>
      <c r="W52" s="116">
        <f t="shared" si="8"/>
        <v>6.416666666666667</v>
      </c>
      <c r="X52" s="116">
        <v>7.7</v>
      </c>
      <c r="Y52" s="116">
        <f>X52*V52</f>
        <v>0</v>
      </c>
      <c r="Z52" s="115">
        <f>8.1</f>
        <v>8.1</v>
      </c>
      <c r="AA52" s="116">
        <f t="shared" si="10"/>
        <v>6</v>
      </c>
      <c r="AB52" s="116">
        <v>7.2</v>
      </c>
      <c r="AC52" s="116">
        <f>AB52*Z52</f>
        <v>58.32</v>
      </c>
      <c r="AD52" s="116">
        <v>0</v>
      </c>
      <c r="AE52" s="116">
        <f t="shared" si="12"/>
        <v>4.666666666666667</v>
      </c>
      <c r="AF52" s="116">
        <v>5.6</v>
      </c>
      <c r="AG52" s="116">
        <f>AF52*AD52</f>
        <v>0</v>
      </c>
      <c r="AH52" s="117">
        <v>51</v>
      </c>
      <c r="AI52" s="116">
        <f t="shared" si="14"/>
        <v>8.3333333333333339</v>
      </c>
      <c r="AJ52" s="116">
        <v>10</v>
      </c>
      <c r="AK52" s="116">
        <f>AJ52*AH52</f>
        <v>510</v>
      </c>
      <c r="AL52" s="117">
        <f>9+10.8+7.6+5.9</f>
        <v>33.299999999999997</v>
      </c>
      <c r="AM52" s="116">
        <f t="shared" si="16"/>
        <v>12.750000000000002</v>
      </c>
      <c r="AN52" s="116">
        <v>15.3</v>
      </c>
      <c r="AO52" s="116">
        <f>AN52*AL52</f>
        <v>509.48999999999995</v>
      </c>
      <c r="AP52" s="116">
        <f t="shared" si="18"/>
        <v>6172.3916666666664</v>
      </c>
      <c r="AQ52" s="116">
        <f t="shared" si="19"/>
        <v>7406.869999999999</v>
      </c>
      <c r="AR52" s="117">
        <f>360+400</f>
        <v>760</v>
      </c>
      <c r="AS52" s="116" t="s">
        <v>210</v>
      </c>
      <c r="AT52" s="118">
        <v>0</v>
      </c>
      <c r="AU52" s="118">
        <f t="shared" si="20"/>
        <v>6.1000000000000005</v>
      </c>
      <c r="AV52" s="144">
        <v>7.32</v>
      </c>
      <c r="AW52" s="118">
        <f>AU52*AR52</f>
        <v>4636</v>
      </c>
      <c r="AX52" s="118">
        <f>AV52*AR52</f>
        <v>5563.2</v>
      </c>
      <c r="AY52" s="119">
        <f t="shared" si="22"/>
        <v>10808.391666666666</v>
      </c>
      <c r="AZ52" s="120">
        <f t="shared" si="24"/>
        <v>12970.07</v>
      </c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</row>
    <row r="53" spans="1:93" s="4" customFormat="1" ht="274.5" outlineLevel="1" x14ac:dyDescent="0.25">
      <c r="A53" s="111">
        <v>38</v>
      </c>
      <c r="B53" s="112" t="s">
        <v>21</v>
      </c>
      <c r="C53" s="113" t="s">
        <v>194</v>
      </c>
      <c r="D53" s="114" t="s">
        <v>19</v>
      </c>
      <c r="E53" s="115">
        <f t="shared" si="0"/>
        <v>739.97</v>
      </c>
      <c r="F53" s="116">
        <v>0</v>
      </c>
      <c r="G53" s="116">
        <f t="shared" si="1"/>
        <v>16.666666666666668</v>
      </c>
      <c r="H53" s="116">
        <v>20</v>
      </c>
      <c r="I53" s="116">
        <f t="shared" ref="I53" si="67">H53*F53</f>
        <v>0</v>
      </c>
      <c r="J53" s="115">
        <f>121.57+119.1</f>
        <v>240.67</v>
      </c>
      <c r="K53" s="116">
        <f t="shared" si="3"/>
        <v>12.916666666666668</v>
      </c>
      <c r="L53" s="116">
        <v>15.5</v>
      </c>
      <c r="M53" s="116">
        <f t="shared" ref="M53" si="68">L53*J53</f>
        <v>3730.3849999999998</v>
      </c>
      <c r="N53" s="117">
        <v>88.7</v>
      </c>
      <c r="O53" s="116">
        <f t="shared" si="5"/>
        <v>4.666666666666667</v>
      </c>
      <c r="P53" s="116">
        <v>5.6</v>
      </c>
      <c r="Q53" s="116">
        <f t="shared" ref="Q53" si="69">P53*N53</f>
        <v>496.71999999999997</v>
      </c>
      <c r="R53" s="115">
        <v>0</v>
      </c>
      <c r="S53" s="116">
        <f t="shared" si="26"/>
        <v>15.583333333333334</v>
      </c>
      <c r="T53" s="116">
        <v>18.7</v>
      </c>
      <c r="U53" s="116">
        <f t="shared" ref="U53" si="70">T53*R53</f>
        <v>0</v>
      </c>
      <c r="V53" s="116">
        <v>190.9</v>
      </c>
      <c r="W53" s="116">
        <f t="shared" si="8"/>
        <v>6.416666666666667</v>
      </c>
      <c r="X53" s="116">
        <v>7.7</v>
      </c>
      <c r="Y53" s="116">
        <f t="shared" ref="Y53" si="71">X53*V53</f>
        <v>1469.93</v>
      </c>
      <c r="Z53" s="115">
        <v>0</v>
      </c>
      <c r="AA53" s="116">
        <f t="shared" si="10"/>
        <v>6</v>
      </c>
      <c r="AB53" s="116">
        <v>7.2</v>
      </c>
      <c r="AC53" s="116">
        <f t="shared" ref="AC53" si="72">AB53*Z53</f>
        <v>0</v>
      </c>
      <c r="AD53" s="116">
        <v>0</v>
      </c>
      <c r="AE53" s="116">
        <f t="shared" si="12"/>
        <v>4.666666666666667</v>
      </c>
      <c r="AF53" s="116">
        <v>5.6</v>
      </c>
      <c r="AG53" s="116">
        <f t="shared" ref="AG53" si="73">AF53*AD53</f>
        <v>0</v>
      </c>
      <c r="AH53" s="117">
        <v>210.7</v>
      </c>
      <c r="AI53" s="116">
        <f t="shared" si="14"/>
        <v>8.3333333333333339</v>
      </c>
      <c r="AJ53" s="116">
        <v>10</v>
      </c>
      <c r="AK53" s="116">
        <f t="shared" ref="AK53" si="74">AJ53*AH53</f>
        <v>2107</v>
      </c>
      <c r="AL53" s="117">
        <v>9</v>
      </c>
      <c r="AM53" s="116">
        <f t="shared" si="16"/>
        <v>12.750000000000002</v>
      </c>
      <c r="AN53" s="116">
        <v>15.3</v>
      </c>
      <c r="AO53" s="116">
        <f t="shared" ref="AO53" si="75">AN53*AL53</f>
        <v>137.70000000000002</v>
      </c>
      <c r="AP53" s="116">
        <f t="shared" si="18"/>
        <v>6618.1125000000002</v>
      </c>
      <c r="AQ53" s="116">
        <f t="shared" si="19"/>
        <v>7941.7349999999997</v>
      </c>
      <c r="AR53" s="117">
        <v>600</v>
      </c>
      <c r="AS53" s="116" t="s">
        <v>210</v>
      </c>
      <c r="AT53" s="118">
        <v>0</v>
      </c>
      <c r="AU53" s="118">
        <f t="shared" si="20"/>
        <v>6.1000000000000005</v>
      </c>
      <c r="AV53" s="144">
        <v>7.32</v>
      </c>
      <c r="AW53" s="118">
        <f t="shared" ref="AW53" si="76">AU53*AR53</f>
        <v>3660.0000000000005</v>
      </c>
      <c r="AX53" s="118">
        <f t="shared" ref="AX53" si="77">AV53*AR53</f>
        <v>4392</v>
      </c>
      <c r="AY53" s="119">
        <f t="shared" si="22"/>
        <v>10278.112500000001</v>
      </c>
      <c r="AZ53" s="120">
        <f t="shared" si="24"/>
        <v>12333.735000000001</v>
      </c>
      <c r="BA53" s="9"/>
      <c r="BB53" s="9"/>
      <c r="BC53" s="9"/>
      <c r="BD53" s="9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5"/>
      <c r="CL53" s="35"/>
      <c r="CM53" s="35"/>
      <c r="CN53" s="35"/>
      <c r="CO53" s="35"/>
    </row>
    <row r="54" spans="1:93" s="4" customFormat="1" ht="274.5" outlineLevel="1" x14ac:dyDescent="0.25">
      <c r="A54" s="111">
        <f t="shared" ref="A54" si="78">A53+1</f>
        <v>39</v>
      </c>
      <c r="B54" s="112" t="s">
        <v>178</v>
      </c>
      <c r="C54" s="113" t="s">
        <v>77</v>
      </c>
      <c r="D54" s="114" t="s">
        <v>19</v>
      </c>
      <c r="E54" s="115">
        <f t="shared" si="0"/>
        <v>2201.9</v>
      </c>
      <c r="F54" s="116">
        <v>0</v>
      </c>
      <c r="G54" s="116">
        <f t="shared" si="1"/>
        <v>16.666666666666668</v>
      </c>
      <c r="H54" s="116">
        <v>20</v>
      </c>
      <c r="I54" s="116">
        <f t="shared" si="2"/>
        <v>0</v>
      </c>
      <c r="J54" s="115">
        <f>397+66.9+65.8+3.7</f>
        <v>533.4</v>
      </c>
      <c r="K54" s="116">
        <f t="shared" si="3"/>
        <v>12.916666666666668</v>
      </c>
      <c r="L54" s="116">
        <v>15.5</v>
      </c>
      <c r="M54" s="116">
        <f t="shared" si="4"/>
        <v>8267.6999999999989</v>
      </c>
      <c r="N54" s="117">
        <v>741.1</v>
      </c>
      <c r="O54" s="116">
        <f t="shared" si="5"/>
        <v>4.666666666666667</v>
      </c>
      <c r="P54" s="116">
        <v>5.6</v>
      </c>
      <c r="Q54" s="116">
        <f t="shared" si="6"/>
        <v>4150.16</v>
      </c>
      <c r="R54" s="115">
        <v>0</v>
      </c>
      <c r="S54" s="116">
        <f t="shared" si="26"/>
        <v>15.583333333333334</v>
      </c>
      <c r="T54" s="116">
        <v>18.7</v>
      </c>
      <c r="U54" s="116">
        <f t="shared" si="7"/>
        <v>0</v>
      </c>
      <c r="V54" s="116">
        <v>90</v>
      </c>
      <c r="W54" s="116">
        <f t="shared" si="8"/>
        <v>6.416666666666667</v>
      </c>
      <c r="X54" s="116">
        <v>7.7</v>
      </c>
      <c r="Y54" s="116">
        <f t="shared" si="9"/>
        <v>693</v>
      </c>
      <c r="Z54" s="115">
        <v>803</v>
      </c>
      <c r="AA54" s="116">
        <f t="shared" si="10"/>
        <v>6</v>
      </c>
      <c r="AB54" s="116">
        <v>7.2</v>
      </c>
      <c r="AC54" s="116">
        <f t="shared" si="11"/>
        <v>5781.6</v>
      </c>
      <c r="AD54" s="116">
        <v>0</v>
      </c>
      <c r="AE54" s="116">
        <f t="shared" si="12"/>
        <v>4.666666666666667</v>
      </c>
      <c r="AF54" s="116">
        <v>5.6</v>
      </c>
      <c r="AG54" s="116">
        <f t="shared" si="13"/>
        <v>0</v>
      </c>
      <c r="AH54" s="117">
        <v>0</v>
      </c>
      <c r="AI54" s="116">
        <f t="shared" si="14"/>
        <v>8.3333333333333339</v>
      </c>
      <c r="AJ54" s="116">
        <v>10</v>
      </c>
      <c r="AK54" s="116">
        <f t="shared" si="15"/>
        <v>0</v>
      </c>
      <c r="AL54" s="117">
        <v>34.4</v>
      </c>
      <c r="AM54" s="116">
        <f t="shared" si="16"/>
        <v>12.750000000000002</v>
      </c>
      <c r="AN54" s="116">
        <v>15.3</v>
      </c>
      <c r="AO54" s="116">
        <f t="shared" si="17"/>
        <v>526.32000000000005</v>
      </c>
      <c r="AP54" s="116">
        <f t="shared" si="18"/>
        <v>16182.316666666666</v>
      </c>
      <c r="AQ54" s="116">
        <f t="shared" si="19"/>
        <v>19418.78</v>
      </c>
      <c r="AR54" s="117">
        <v>1760</v>
      </c>
      <c r="AS54" s="116" t="s">
        <v>210</v>
      </c>
      <c r="AT54" s="118">
        <v>0</v>
      </c>
      <c r="AU54" s="118">
        <f t="shared" si="20"/>
        <v>6.1000000000000005</v>
      </c>
      <c r="AV54" s="144">
        <v>7.32</v>
      </c>
      <c r="AW54" s="118">
        <f t="shared" si="23"/>
        <v>10736.000000000002</v>
      </c>
      <c r="AX54" s="118">
        <f t="shared" si="21"/>
        <v>12883.2</v>
      </c>
      <c r="AY54" s="119">
        <f t="shared" si="22"/>
        <v>26918.316666666666</v>
      </c>
      <c r="AZ54" s="120">
        <f t="shared" si="24"/>
        <v>32301.98</v>
      </c>
      <c r="BA54" s="9"/>
      <c r="BB54" s="9"/>
      <c r="BC54" s="9"/>
      <c r="BD54" s="9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5"/>
      <c r="CL54" s="35"/>
      <c r="CM54" s="35"/>
      <c r="CN54" s="35"/>
      <c r="CO54" s="35"/>
    </row>
    <row r="55" spans="1:93" s="4" customFormat="1" ht="228.75" outlineLevel="1" x14ac:dyDescent="0.25">
      <c r="A55" s="111">
        <v>40</v>
      </c>
      <c r="B55" s="112" t="s">
        <v>178</v>
      </c>
      <c r="C55" s="113" t="s">
        <v>78</v>
      </c>
      <c r="D55" s="114" t="s">
        <v>19</v>
      </c>
      <c r="E55" s="115">
        <f t="shared" si="0"/>
        <v>612.9</v>
      </c>
      <c r="F55" s="116">
        <v>0</v>
      </c>
      <c r="G55" s="116">
        <f t="shared" si="1"/>
        <v>16.666666666666668</v>
      </c>
      <c r="H55" s="116">
        <v>20</v>
      </c>
      <c r="I55" s="116">
        <f t="shared" si="2"/>
        <v>0</v>
      </c>
      <c r="J55" s="115">
        <f>39.2+53.4</f>
        <v>92.6</v>
      </c>
      <c r="K55" s="116">
        <f t="shared" si="3"/>
        <v>12.916666666666668</v>
      </c>
      <c r="L55" s="116">
        <v>15.5</v>
      </c>
      <c r="M55" s="116">
        <f t="shared" si="4"/>
        <v>1435.3</v>
      </c>
      <c r="N55" s="117">
        <v>162.5</v>
      </c>
      <c r="O55" s="116">
        <f t="shared" si="5"/>
        <v>4.666666666666667</v>
      </c>
      <c r="P55" s="116">
        <v>5.6</v>
      </c>
      <c r="Q55" s="116">
        <f t="shared" si="6"/>
        <v>909.99999999999989</v>
      </c>
      <c r="R55" s="115">
        <v>0</v>
      </c>
      <c r="S55" s="116">
        <f t="shared" si="26"/>
        <v>15.583333333333334</v>
      </c>
      <c r="T55" s="116">
        <v>18.7</v>
      </c>
      <c r="U55" s="116">
        <f t="shared" si="7"/>
        <v>0</v>
      </c>
      <c r="V55" s="116">
        <v>0</v>
      </c>
      <c r="W55" s="116">
        <f t="shared" si="8"/>
        <v>6.416666666666667</v>
      </c>
      <c r="X55" s="116">
        <v>7.7</v>
      </c>
      <c r="Y55" s="116">
        <f t="shared" si="9"/>
        <v>0</v>
      </c>
      <c r="Z55" s="115">
        <f>17.6+14.9+74.2+32.1+61+31.2+49.8</f>
        <v>280.8</v>
      </c>
      <c r="AA55" s="116">
        <f t="shared" si="10"/>
        <v>6</v>
      </c>
      <c r="AB55" s="116">
        <v>7.2</v>
      </c>
      <c r="AC55" s="116">
        <f t="shared" si="11"/>
        <v>2021.7600000000002</v>
      </c>
      <c r="AD55" s="116">
        <v>0</v>
      </c>
      <c r="AE55" s="116">
        <f t="shared" si="12"/>
        <v>4.666666666666667</v>
      </c>
      <c r="AF55" s="116">
        <v>5.6</v>
      </c>
      <c r="AG55" s="116">
        <f t="shared" si="13"/>
        <v>0</v>
      </c>
      <c r="AH55" s="117">
        <f>13.7+26.5+15.3</f>
        <v>55.5</v>
      </c>
      <c r="AI55" s="116">
        <f t="shared" si="14"/>
        <v>8.3333333333333339</v>
      </c>
      <c r="AJ55" s="116">
        <v>10</v>
      </c>
      <c r="AK55" s="116">
        <f t="shared" si="15"/>
        <v>555</v>
      </c>
      <c r="AL55" s="117">
        <f>2.4+8+11.1</f>
        <v>21.5</v>
      </c>
      <c r="AM55" s="116">
        <f t="shared" si="16"/>
        <v>12.750000000000002</v>
      </c>
      <c r="AN55" s="116">
        <v>15.3</v>
      </c>
      <c r="AO55" s="116">
        <f t="shared" si="17"/>
        <v>328.95</v>
      </c>
      <c r="AP55" s="116">
        <f t="shared" si="18"/>
        <v>4375.8416666666662</v>
      </c>
      <c r="AQ55" s="116">
        <f t="shared" si="19"/>
        <v>5251.0099999999993</v>
      </c>
      <c r="AR55" s="117">
        <f>892+187</f>
        <v>1079</v>
      </c>
      <c r="AS55" s="116" t="s">
        <v>210</v>
      </c>
      <c r="AT55" s="118">
        <v>0</v>
      </c>
      <c r="AU55" s="118">
        <f t="shared" si="20"/>
        <v>6.1000000000000005</v>
      </c>
      <c r="AV55" s="144">
        <v>7.32</v>
      </c>
      <c r="AW55" s="118">
        <f t="shared" si="23"/>
        <v>6581.9000000000005</v>
      </c>
      <c r="AX55" s="118">
        <f t="shared" si="21"/>
        <v>7898.2800000000007</v>
      </c>
      <c r="AY55" s="119">
        <f t="shared" si="22"/>
        <v>10957.741666666667</v>
      </c>
      <c r="AZ55" s="120">
        <f t="shared" si="24"/>
        <v>13149.29</v>
      </c>
      <c r="BA55" s="9"/>
      <c r="BB55" s="9"/>
      <c r="BC55" s="9"/>
      <c r="BD55" s="9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5"/>
      <c r="CL55" s="35"/>
      <c r="CM55" s="35"/>
      <c r="CN55" s="35"/>
      <c r="CO55" s="35"/>
    </row>
    <row r="56" spans="1:93" s="4" customFormat="1" ht="228.75" outlineLevel="1" x14ac:dyDescent="0.25">
      <c r="A56" s="111">
        <f t="shared" ref="A56" si="79">A55+1</f>
        <v>41</v>
      </c>
      <c r="B56" s="112" t="s">
        <v>21</v>
      </c>
      <c r="C56" s="113" t="s">
        <v>57</v>
      </c>
      <c r="D56" s="114" t="s">
        <v>19</v>
      </c>
      <c r="E56" s="115">
        <f t="shared" si="0"/>
        <v>208.5</v>
      </c>
      <c r="F56" s="116">
        <v>0</v>
      </c>
      <c r="G56" s="116">
        <f t="shared" si="1"/>
        <v>16.666666666666668</v>
      </c>
      <c r="H56" s="116">
        <v>20</v>
      </c>
      <c r="I56" s="116">
        <f t="shared" si="2"/>
        <v>0</v>
      </c>
      <c r="J56" s="115">
        <f>11.1</f>
        <v>11.1</v>
      </c>
      <c r="K56" s="116">
        <f t="shared" si="3"/>
        <v>12.916666666666668</v>
      </c>
      <c r="L56" s="116">
        <v>15.5</v>
      </c>
      <c r="M56" s="116">
        <f t="shared" si="4"/>
        <v>172.04999999999998</v>
      </c>
      <c r="N56" s="117">
        <f>118.5+41.3</f>
        <v>159.80000000000001</v>
      </c>
      <c r="O56" s="116">
        <f t="shared" si="5"/>
        <v>4.666666666666667</v>
      </c>
      <c r="P56" s="116">
        <v>5.6</v>
      </c>
      <c r="Q56" s="116">
        <f t="shared" si="6"/>
        <v>894.88</v>
      </c>
      <c r="R56" s="115">
        <v>0</v>
      </c>
      <c r="S56" s="116">
        <f t="shared" si="26"/>
        <v>15.583333333333334</v>
      </c>
      <c r="T56" s="116">
        <v>18.7</v>
      </c>
      <c r="U56" s="116">
        <f t="shared" si="7"/>
        <v>0</v>
      </c>
      <c r="V56" s="116">
        <v>0</v>
      </c>
      <c r="W56" s="116">
        <f t="shared" si="8"/>
        <v>6.416666666666667</v>
      </c>
      <c r="X56" s="116">
        <v>7.7</v>
      </c>
      <c r="Y56" s="116">
        <f t="shared" si="9"/>
        <v>0</v>
      </c>
      <c r="Z56" s="115">
        <f>32.4</f>
        <v>32.4</v>
      </c>
      <c r="AA56" s="116">
        <f t="shared" si="10"/>
        <v>6</v>
      </c>
      <c r="AB56" s="116">
        <v>7.2</v>
      </c>
      <c r="AC56" s="116">
        <f t="shared" si="11"/>
        <v>233.28</v>
      </c>
      <c r="AD56" s="116">
        <v>0</v>
      </c>
      <c r="AE56" s="116">
        <f t="shared" si="12"/>
        <v>4.666666666666667</v>
      </c>
      <c r="AF56" s="116">
        <v>5.6</v>
      </c>
      <c r="AG56" s="116">
        <f t="shared" si="13"/>
        <v>0</v>
      </c>
      <c r="AH56" s="117">
        <v>0</v>
      </c>
      <c r="AI56" s="116">
        <f t="shared" si="14"/>
        <v>8.3333333333333339</v>
      </c>
      <c r="AJ56" s="116">
        <v>10</v>
      </c>
      <c r="AK56" s="116">
        <f t="shared" si="15"/>
        <v>0</v>
      </c>
      <c r="AL56" s="117">
        <v>5.2</v>
      </c>
      <c r="AM56" s="116">
        <f t="shared" si="16"/>
        <v>12.750000000000002</v>
      </c>
      <c r="AN56" s="116">
        <v>15.3</v>
      </c>
      <c r="AO56" s="116">
        <f t="shared" si="17"/>
        <v>79.56</v>
      </c>
      <c r="AP56" s="116">
        <f t="shared" si="18"/>
        <v>1149.8083333333334</v>
      </c>
      <c r="AQ56" s="116">
        <f t="shared" si="19"/>
        <v>1379.77</v>
      </c>
      <c r="AR56" s="117">
        <v>642</v>
      </c>
      <c r="AS56" s="116" t="s">
        <v>210</v>
      </c>
      <c r="AT56" s="118">
        <v>0</v>
      </c>
      <c r="AU56" s="118">
        <f t="shared" si="20"/>
        <v>6.1000000000000005</v>
      </c>
      <c r="AV56" s="144">
        <v>7.32</v>
      </c>
      <c r="AW56" s="118">
        <f t="shared" si="23"/>
        <v>3916.2000000000003</v>
      </c>
      <c r="AX56" s="118">
        <f t="shared" si="21"/>
        <v>4699.4400000000005</v>
      </c>
      <c r="AY56" s="119">
        <f t="shared" si="22"/>
        <v>5066.0083333333332</v>
      </c>
      <c r="AZ56" s="120">
        <f t="shared" si="24"/>
        <v>6079.2100000000009</v>
      </c>
      <c r="BA56" s="9"/>
      <c r="BB56" s="9"/>
      <c r="BC56" s="9"/>
      <c r="BD56" s="9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5"/>
      <c r="CL56" s="35"/>
      <c r="CM56" s="35"/>
      <c r="CN56" s="35"/>
      <c r="CO56" s="35"/>
    </row>
    <row r="57" spans="1:93" s="4" customFormat="1" ht="274.5" outlineLevel="1" x14ac:dyDescent="0.25">
      <c r="A57" s="111">
        <v>42</v>
      </c>
      <c r="B57" s="112" t="s">
        <v>178</v>
      </c>
      <c r="C57" s="113" t="s">
        <v>157</v>
      </c>
      <c r="D57" s="114" t="s">
        <v>19</v>
      </c>
      <c r="E57" s="115">
        <f t="shared" si="0"/>
        <v>317.2</v>
      </c>
      <c r="F57" s="116">
        <v>0</v>
      </c>
      <c r="G57" s="116">
        <f t="shared" si="1"/>
        <v>16.666666666666668</v>
      </c>
      <c r="H57" s="116">
        <v>20</v>
      </c>
      <c r="I57" s="116">
        <f t="shared" si="2"/>
        <v>0</v>
      </c>
      <c r="J57" s="115">
        <v>203.2</v>
      </c>
      <c r="K57" s="116">
        <f t="shared" si="3"/>
        <v>12.916666666666668</v>
      </c>
      <c r="L57" s="116">
        <v>15.5</v>
      </c>
      <c r="M57" s="116">
        <f t="shared" si="4"/>
        <v>3149.6</v>
      </c>
      <c r="N57" s="117">
        <v>44.5</v>
      </c>
      <c r="O57" s="116">
        <f t="shared" si="5"/>
        <v>4.666666666666667</v>
      </c>
      <c r="P57" s="116">
        <v>5.6</v>
      </c>
      <c r="Q57" s="116">
        <f t="shared" si="6"/>
        <v>249.2</v>
      </c>
      <c r="R57" s="115">
        <v>0</v>
      </c>
      <c r="S57" s="116">
        <f t="shared" si="26"/>
        <v>15.583333333333334</v>
      </c>
      <c r="T57" s="116">
        <v>18.7</v>
      </c>
      <c r="U57" s="116">
        <f t="shared" si="7"/>
        <v>0</v>
      </c>
      <c r="V57" s="116">
        <v>0</v>
      </c>
      <c r="W57" s="116">
        <f t="shared" si="8"/>
        <v>6.416666666666667</v>
      </c>
      <c r="X57" s="116">
        <v>7.7</v>
      </c>
      <c r="Y57" s="116">
        <f t="shared" si="9"/>
        <v>0</v>
      </c>
      <c r="Z57" s="115">
        <f>58.6+3</f>
        <v>61.6</v>
      </c>
      <c r="AA57" s="116">
        <f t="shared" si="10"/>
        <v>6</v>
      </c>
      <c r="AB57" s="116">
        <v>7.2</v>
      </c>
      <c r="AC57" s="116">
        <f t="shared" si="11"/>
        <v>443.52000000000004</v>
      </c>
      <c r="AD57" s="116">
        <v>0</v>
      </c>
      <c r="AE57" s="116">
        <f t="shared" si="12"/>
        <v>4.666666666666667</v>
      </c>
      <c r="AF57" s="116">
        <v>5.6</v>
      </c>
      <c r="AG57" s="116">
        <f t="shared" si="13"/>
        <v>0</v>
      </c>
      <c r="AH57" s="117">
        <v>0</v>
      </c>
      <c r="AI57" s="116">
        <f t="shared" si="14"/>
        <v>8.3333333333333339</v>
      </c>
      <c r="AJ57" s="116">
        <v>10</v>
      </c>
      <c r="AK57" s="116">
        <f t="shared" si="15"/>
        <v>0</v>
      </c>
      <c r="AL57" s="117">
        <v>7.9</v>
      </c>
      <c r="AM57" s="116">
        <f t="shared" si="16"/>
        <v>12.750000000000002</v>
      </c>
      <c r="AN57" s="116">
        <v>15.3</v>
      </c>
      <c r="AO57" s="116">
        <f t="shared" si="17"/>
        <v>120.87</v>
      </c>
      <c r="AP57" s="116">
        <f t="shared" si="18"/>
        <v>3302.6583333333333</v>
      </c>
      <c r="AQ57" s="116">
        <f t="shared" si="19"/>
        <v>3963.1899999999996</v>
      </c>
      <c r="AR57" s="117">
        <v>499</v>
      </c>
      <c r="AS57" s="116" t="s">
        <v>210</v>
      </c>
      <c r="AT57" s="118">
        <v>0</v>
      </c>
      <c r="AU57" s="118">
        <f t="shared" si="20"/>
        <v>6.1000000000000005</v>
      </c>
      <c r="AV57" s="144">
        <v>7.32</v>
      </c>
      <c r="AW57" s="118">
        <f t="shared" si="23"/>
        <v>3043.9</v>
      </c>
      <c r="AX57" s="118">
        <f t="shared" si="21"/>
        <v>3652.6800000000003</v>
      </c>
      <c r="AY57" s="119">
        <f t="shared" si="22"/>
        <v>6346.5583333333334</v>
      </c>
      <c r="AZ57" s="120">
        <f t="shared" si="24"/>
        <v>7615.87</v>
      </c>
      <c r="BA57" s="9"/>
      <c r="BB57" s="9"/>
      <c r="BC57" s="9"/>
      <c r="BD57" s="9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5"/>
      <c r="CL57" s="35"/>
      <c r="CM57" s="35"/>
      <c r="CN57" s="35"/>
      <c r="CO57" s="35"/>
    </row>
    <row r="58" spans="1:93" s="4" customFormat="1" ht="228.75" outlineLevel="1" x14ac:dyDescent="0.65">
      <c r="A58" s="111">
        <f t="shared" ref="A58" si="80">A57+1</f>
        <v>43</v>
      </c>
      <c r="B58" s="112" t="s">
        <v>21</v>
      </c>
      <c r="C58" s="113" t="s">
        <v>58</v>
      </c>
      <c r="D58" s="114" t="s">
        <v>19</v>
      </c>
      <c r="E58" s="115">
        <f t="shared" si="0"/>
        <v>371.5</v>
      </c>
      <c r="F58" s="116">
        <v>0</v>
      </c>
      <c r="G58" s="116">
        <f t="shared" si="1"/>
        <v>16.666666666666668</v>
      </c>
      <c r="H58" s="116">
        <v>20</v>
      </c>
      <c r="I58" s="116">
        <f t="shared" si="2"/>
        <v>0</v>
      </c>
      <c r="J58" s="115">
        <v>0</v>
      </c>
      <c r="K58" s="116">
        <f t="shared" si="3"/>
        <v>12.916666666666668</v>
      </c>
      <c r="L58" s="116">
        <v>15.5</v>
      </c>
      <c r="M58" s="116">
        <f t="shared" si="4"/>
        <v>0</v>
      </c>
      <c r="N58" s="117">
        <v>242.6</v>
      </c>
      <c r="O58" s="116">
        <f t="shared" si="5"/>
        <v>4.666666666666667</v>
      </c>
      <c r="P58" s="116">
        <v>5.6</v>
      </c>
      <c r="Q58" s="116">
        <f t="shared" si="6"/>
        <v>1358.56</v>
      </c>
      <c r="R58" s="115">
        <v>0</v>
      </c>
      <c r="S58" s="116">
        <f t="shared" si="26"/>
        <v>15.583333333333334</v>
      </c>
      <c r="T58" s="116">
        <v>18.7</v>
      </c>
      <c r="U58" s="116">
        <f t="shared" si="7"/>
        <v>0</v>
      </c>
      <c r="V58" s="116">
        <v>0</v>
      </c>
      <c r="W58" s="116">
        <f t="shared" si="8"/>
        <v>6.416666666666667</v>
      </c>
      <c r="X58" s="116">
        <v>7.7</v>
      </c>
      <c r="Y58" s="116">
        <f t="shared" si="9"/>
        <v>0</v>
      </c>
      <c r="Z58" s="115">
        <v>19.8</v>
      </c>
      <c r="AA58" s="116">
        <f t="shared" si="10"/>
        <v>6</v>
      </c>
      <c r="AB58" s="116">
        <v>7.2</v>
      </c>
      <c r="AC58" s="116">
        <f t="shared" si="11"/>
        <v>142.56</v>
      </c>
      <c r="AD58" s="116">
        <v>0</v>
      </c>
      <c r="AE58" s="116">
        <f t="shared" si="12"/>
        <v>4.666666666666667</v>
      </c>
      <c r="AF58" s="116">
        <v>5.6</v>
      </c>
      <c r="AG58" s="116">
        <f t="shared" si="13"/>
        <v>0</v>
      </c>
      <c r="AH58" s="117">
        <v>103.1</v>
      </c>
      <c r="AI58" s="116">
        <f t="shared" si="14"/>
        <v>8.3333333333333339</v>
      </c>
      <c r="AJ58" s="116">
        <v>10</v>
      </c>
      <c r="AK58" s="116">
        <f t="shared" si="15"/>
        <v>1031</v>
      </c>
      <c r="AL58" s="117">
        <v>6</v>
      </c>
      <c r="AM58" s="116">
        <f t="shared" si="16"/>
        <v>12.750000000000002</v>
      </c>
      <c r="AN58" s="116">
        <v>15.3</v>
      </c>
      <c r="AO58" s="116">
        <f t="shared" si="17"/>
        <v>91.800000000000011</v>
      </c>
      <c r="AP58" s="116">
        <f t="shared" si="18"/>
        <v>2186.6000000000004</v>
      </c>
      <c r="AQ58" s="116">
        <f t="shared" si="19"/>
        <v>2623.92</v>
      </c>
      <c r="AR58" s="117">
        <v>2150</v>
      </c>
      <c r="AS58" s="116" t="s">
        <v>210</v>
      </c>
      <c r="AT58" s="118">
        <v>0</v>
      </c>
      <c r="AU58" s="118">
        <f t="shared" si="20"/>
        <v>6.1000000000000005</v>
      </c>
      <c r="AV58" s="144">
        <v>7.32</v>
      </c>
      <c r="AW58" s="118">
        <f t="shared" si="23"/>
        <v>13115.000000000002</v>
      </c>
      <c r="AX58" s="118">
        <f t="shared" si="21"/>
        <v>15738</v>
      </c>
      <c r="AY58" s="119">
        <f t="shared" si="22"/>
        <v>15301.600000000002</v>
      </c>
      <c r="AZ58" s="120">
        <f t="shared" si="24"/>
        <v>18361.919999999998</v>
      </c>
      <c r="BA58" s="146"/>
      <c r="BB58" s="147"/>
      <c r="BC58" s="147"/>
      <c r="BD58" s="9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5"/>
      <c r="CL58" s="35"/>
      <c r="CM58" s="35"/>
      <c r="CN58" s="35"/>
      <c r="CO58" s="35"/>
    </row>
    <row r="59" spans="1:93" s="26" customFormat="1" ht="45.75" outlineLevel="1" x14ac:dyDescent="0.3">
      <c r="A59" s="162" t="s">
        <v>81</v>
      </c>
      <c r="B59" s="163"/>
      <c r="C59" s="163"/>
      <c r="D59" s="131"/>
      <c r="E59" s="115"/>
      <c r="F59" s="131"/>
      <c r="G59" s="116"/>
      <c r="H59" s="131"/>
      <c r="I59" s="131"/>
      <c r="J59" s="131"/>
      <c r="K59" s="116"/>
      <c r="L59" s="116"/>
      <c r="M59" s="131"/>
      <c r="N59" s="131"/>
      <c r="O59" s="116"/>
      <c r="P59" s="116"/>
      <c r="Q59" s="131"/>
      <c r="R59" s="131"/>
      <c r="S59" s="116"/>
      <c r="T59" s="116"/>
      <c r="U59" s="131"/>
      <c r="V59" s="131"/>
      <c r="W59" s="116"/>
      <c r="X59" s="116"/>
      <c r="Y59" s="131"/>
      <c r="Z59" s="131"/>
      <c r="AA59" s="116"/>
      <c r="AB59" s="116"/>
      <c r="AC59" s="131"/>
      <c r="AD59" s="131"/>
      <c r="AE59" s="116"/>
      <c r="AF59" s="116"/>
      <c r="AG59" s="131"/>
      <c r="AH59" s="131"/>
      <c r="AI59" s="116"/>
      <c r="AJ59" s="116"/>
      <c r="AK59" s="131"/>
      <c r="AL59" s="131"/>
      <c r="AM59" s="116"/>
      <c r="AN59" s="116"/>
      <c r="AO59" s="131"/>
      <c r="AP59" s="116"/>
      <c r="AQ59" s="129"/>
      <c r="AR59" s="131"/>
      <c r="AS59" s="116"/>
      <c r="AT59" s="126"/>
      <c r="AU59" s="118"/>
      <c r="AV59" s="144"/>
      <c r="AW59" s="126"/>
      <c r="AX59" s="126"/>
      <c r="AY59" s="127"/>
      <c r="AZ59" s="130"/>
      <c r="BA59" s="25"/>
      <c r="BB59" s="25"/>
      <c r="BC59" s="25"/>
      <c r="BD59" s="25"/>
      <c r="BE59" s="25"/>
      <c r="BF59" s="25"/>
      <c r="CJ59" s="36"/>
      <c r="CK59" s="36"/>
      <c r="CL59" s="36"/>
      <c r="CM59" s="36"/>
      <c r="CN59" s="36"/>
      <c r="CO59" s="36"/>
    </row>
    <row r="60" spans="1:93" s="24" customFormat="1" ht="45.75" outlineLevel="1" x14ac:dyDescent="0.3">
      <c r="A60" s="162" t="s">
        <v>61</v>
      </c>
      <c r="B60" s="163"/>
      <c r="C60" s="163"/>
      <c r="D60" s="131"/>
      <c r="E60" s="115"/>
      <c r="F60" s="131"/>
      <c r="G60" s="116"/>
      <c r="H60" s="131"/>
      <c r="I60" s="131"/>
      <c r="J60" s="131"/>
      <c r="K60" s="116"/>
      <c r="L60" s="116"/>
      <c r="M60" s="131"/>
      <c r="N60" s="131"/>
      <c r="O60" s="116"/>
      <c r="P60" s="116"/>
      <c r="Q60" s="131"/>
      <c r="R60" s="131"/>
      <c r="S60" s="116"/>
      <c r="T60" s="116"/>
      <c r="U60" s="131"/>
      <c r="V60" s="131"/>
      <c r="W60" s="116"/>
      <c r="X60" s="116"/>
      <c r="Y60" s="131"/>
      <c r="Z60" s="131"/>
      <c r="AA60" s="116"/>
      <c r="AB60" s="116"/>
      <c r="AC60" s="131"/>
      <c r="AD60" s="131"/>
      <c r="AE60" s="116"/>
      <c r="AF60" s="116"/>
      <c r="AG60" s="131"/>
      <c r="AH60" s="131"/>
      <c r="AI60" s="116"/>
      <c r="AJ60" s="116"/>
      <c r="AK60" s="131"/>
      <c r="AL60" s="131"/>
      <c r="AM60" s="116"/>
      <c r="AN60" s="116"/>
      <c r="AO60" s="131"/>
      <c r="AP60" s="116"/>
      <c r="AQ60" s="129"/>
      <c r="AR60" s="131"/>
      <c r="AS60" s="116"/>
      <c r="AT60" s="126"/>
      <c r="AU60" s="118"/>
      <c r="AV60" s="144"/>
      <c r="AW60" s="126"/>
      <c r="AX60" s="126"/>
      <c r="AY60" s="127"/>
      <c r="AZ60" s="128"/>
      <c r="BA60" s="23"/>
      <c r="BB60" s="23"/>
      <c r="BC60" s="23"/>
      <c r="BD60" s="23"/>
      <c r="BE60" s="23"/>
      <c r="BF60" s="23"/>
      <c r="CJ60" s="191"/>
      <c r="CK60" s="191"/>
      <c r="CL60" s="191"/>
      <c r="CM60" s="191"/>
      <c r="CN60" s="191"/>
      <c r="CO60" s="191"/>
    </row>
    <row r="61" spans="1:93" s="4" customFormat="1" ht="228.75" outlineLevel="1" x14ac:dyDescent="0.25">
      <c r="A61" s="111">
        <f>A58+1</f>
        <v>44</v>
      </c>
      <c r="B61" s="112" t="s">
        <v>178</v>
      </c>
      <c r="C61" s="113" t="s">
        <v>82</v>
      </c>
      <c r="D61" s="114" t="s">
        <v>19</v>
      </c>
      <c r="E61" s="115">
        <f t="shared" si="0"/>
        <v>2321.7000000000003</v>
      </c>
      <c r="F61" s="116">
        <v>0</v>
      </c>
      <c r="G61" s="116">
        <f t="shared" si="1"/>
        <v>16.666666666666668</v>
      </c>
      <c r="H61" s="116">
        <v>20</v>
      </c>
      <c r="I61" s="116">
        <f t="shared" si="2"/>
        <v>0</v>
      </c>
      <c r="J61" s="115">
        <v>1008.2</v>
      </c>
      <c r="K61" s="116">
        <f t="shared" si="3"/>
        <v>12.916666666666668</v>
      </c>
      <c r="L61" s="116">
        <v>15.5</v>
      </c>
      <c r="M61" s="116">
        <f t="shared" si="4"/>
        <v>15627.1</v>
      </c>
      <c r="N61" s="117">
        <v>867.2</v>
      </c>
      <c r="O61" s="116">
        <f t="shared" si="5"/>
        <v>4.666666666666667</v>
      </c>
      <c r="P61" s="116">
        <v>5.6</v>
      </c>
      <c r="Q61" s="116">
        <f t="shared" si="6"/>
        <v>4856.32</v>
      </c>
      <c r="R61" s="115">
        <v>0</v>
      </c>
      <c r="S61" s="116">
        <f t="shared" si="26"/>
        <v>15.583333333333334</v>
      </c>
      <c r="T61" s="116">
        <v>18.7</v>
      </c>
      <c r="U61" s="116">
        <f t="shared" si="7"/>
        <v>0</v>
      </c>
      <c r="V61" s="116">
        <v>0</v>
      </c>
      <c r="W61" s="116">
        <f t="shared" si="8"/>
        <v>6.416666666666667</v>
      </c>
      <c r="X61" s="116">
        <v>7.7</v>
      </c>
      <c r="Y61" s="116">
        <f t="shared" si="9"/>
        <v>0</v>
      </c>
      <c r="Z61" s="115">
        <v>297.10000000000002</v>
      </c>
      <c r="AA61" s="116">
        <f t="shared" si="10"/>
        <v>6</v>
      </c>
      <c r="AB61" s="116">
        <v>7.2</v>
      </c>
      <c r="AC61" s="116">
        <f t="shared" si="11"/>
        <v>2139.1200000000003</v>
      </c>
      <c r="AD61" s="116">
        <v>0</v>
      </c>
      <c r="AE61" s="116">
        <f t="shared" si="12"/>
        <v>4.666666666666667</v>
      </c>
      <c r="AF61" s="116">
        <v>5.6</v>
      </c>
      <c r="AG61" s="116">
        <f t="shared" si="13"/>
        <v>0</v>
      </c>
      <c r="AH61" s="117">
        <v>107.9</v>
      </c>
      <c r="AI61" s="116">
        <f t="shared" si="14"/>
        <v>8.3333333333333339</v>
      </c>
      <c r="AJ61" s="116">
        <v>10</v>
      </c>
      <c r="AK61" s="116">
        <f t="shared" si="15"/>
        <v>1079</v>
      </c>
      <c r="AL61" s="117">
        <v>41.3</v>
      </c>
      <c r="AM61" s="116">
        <f t="shared" si="16"/>
        <v>12.750000000000002</v>
      </c>
      <c r="AN61" s="116">
        <v>15.3</v>
      </c>
      <c r="AO61" s="116">
        <f t="shared" si="17"/>
        <v>631.89</v>
      </c>
      <c r="AP61" s="116">
        <f t="shared" si="18"/>
        <v>20277.85833333333</v>
      </c>
      <c r="AQ61" s="116">
        <f t="shared" si="19"/>
        <v>24333.429999999997</v>
      </c>
      <c r="AR61" s="117">
        <f>1798.36+1203.44+93.9</f>
        <v>3095.7000000000003</v>
      </c>
      <c r="AS61" s="116" t="s">
        <v>210</v>
      </c>
      <c r="AT61" s="118">
        <v>0</v>
      </c>
      <c r="AU61" s="118">
        <f t="shared" si="20"/>
        <v>6.1000000000000005</v>
      </c>
      <c r="AV61" s="144">
        <v>7.32</v>
      </c>
      <c r="AW61" s="118">
        <f t="shared" si="23"/>
        <v>18883.770000000004</v>
      </c>
      <c r="AX61" s="118">
        <f t="shared" si="21"/>
        <v>22660.524000000001</v>
      </c>
      <c r="AY61" s="119">
        <f t="shared" si="22"/>
        <v>39161.628333333334</v>
      </c>
      <c r="AZ61" s="120">
        <f t="shared" si="24"/>
        <v>46993.953999999998</v>
      </c>
      <c r="BA61" s="9"/>
      <c r="BB61" s="9"/>
      <c r="BC61" s="9"/>
      <c r="BD61" s="9"/>
      <c r="BE61" s="37"/>
      <c r="BF61" s="37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</row>
    <row r="62" spans="1:93" s="4" customFormat="1" ht="320.25" outlineLevel="1" x14ac:dyDescent="0.25">
      <c r="A62" s="111">
        <f>A61+1</f>
        <v>45</v>
      </c>
      <c r="B62" s="112" t="s">
        <v>16</v>
      </c>
      <c r="C62" s="113" t="s">
        <v>176</v>
      </c>
      <c r="D62" s="114" t="s">
        <v>19</v>
      </c>
      <c r="E62" s="115">
        <f t="shared" si="0"/>
        <v>188.7</v>
      </c>
      <c r="F62" s="116">
        <v>0</v>
      </c>
      <c r="G62" s="116">
        <f t="shared" si="1"/>
        <v>16.666666666666668</v>
      </c>
      <c r="H62" s="116">
        <v>20</v>
      </c>
      <c r="I62" s="116">
        <f t="shared" si="2"/>
        <v>0</v>
      </c>
      <c r="J62" s="115">
        <f>31.4</f>
        <v>31.4</v>
      </c>
      <c r="K62" s="116">
        <f t="shared" si="3"/>
        <v>12.916666666666668</v>
      </c>
      <c r="L62" s="116">
        <v>15.5</v>
      </c>
      <c r="M62" s="116">
        <f t="shared" si="4"/>
        <v>486.7</v>
      </c>
      <c r="N62" s="117">
        <f>34.3+65-18.1</f>
        <v>81.199999999999989</v>
      </c>
      <c r="O62" s="116">
        <f t="shared" si="5"/>
        <v>4.666666666666667</v>
      </c>
      <c r="P62" s="116">
        <v>5.6</v>
      </c>
      <c r="Q62" s="116">
        <f t="shared" si="6"/>
        <v>454.71999999999991</v>
      </c>
      <c r="R62" s="115">
        <v>0</v>
      </c>
      <c r="S62" s="116">
        <f t="shared" si="26"/>
        <v>15.583333333333334</v>
      </c>
      <c r="T62" s="116">
        <v>18.7</v>
      </c>
      <c r="U62" s="116">
        <f t="shared" si="7"/>
        <v>0</v>
      </c>
      <c r="V62" s="116">
        <v>0</v>
      </c>
      <c r="W62" s="116">
        <f t="shared" si="8"/>
        <v>6.416666666666667</v>
      </c>
      <c r="X62" s="116">
        <v>7.7</v>
      </c>
      <c r="Y62" s="116">
        <f t="shared" si="9"/>
        <v>0</v>
      </c>
      <c r="Z62" s="115">
        <f>59+13.3</f>
        <v>72.3</v>
      </c>
      <c r="AA62" s="116">
        <f t="shared" si="10"/>
        <v>6</v>
      </c>
      <c r="AB62" s="116">
        <v>7.2</v>
      </c>
      <c r="AC62" s="116">
        <f t="shared" si="11"/>
        <v>520.55999999999995</v>
      </c>
      <c r="AD62" s="116">
        <v>0</v>
      </c>
      <c r="AE62" s="116">
        <f t="shared" si="12"/>
        <v>4.666666666666667</v>
      </c>
      <c r="AF62" s="116">
        <v>5.6</v>
      </c>
      <c r="AG62" s="116">
        <f t="shared" si="13"/>
        <v>0</v>
      </c>
      <c r="AH62" s="117">
        <v>0</v>
      </c>
      <c r="AI62" s="116">
        <f t="shared" si="14"/>
        <v>8.3333333333333339</v>
      </c>
      <c r="AJ62" s="116">
        <v>10</v>
      </c>
      <c r="AK62" s="116">
        <f t="shared" si="15"/>
        <v>0</v>
      </c>
      <c r="AL62" s="117">
        <v>3.8</v>
      </c>
      <c r="AM62" s="116">
        <f t="shared" si="16"/>
        <v>12.750000000000002</v>
      </c>
      <c r="AN62" s="116">
        <v>15.3</v>
      </c>
      <c r="AO62" s="116">
        <f t="shared" si="17"/>
        <v>58.14</v>
      </c>
      <c r="AP62" s="116">
        <f t="shared" si="18"/>
        <v>1266.7666666666667</v>
      </c>
      <c r="AQ62" s="116">
        <f t="shared" si="19"/>
        <v>1520.12</v>
      </c>
      <c r="AR62" s="117">
        <v>71.099999999999994</v>
      </c>
      <c r="AS62" s="116" t="s">
        <v>210</v>
      </c>
      <c r="AT62" s="118">
        <v>0</v>
      </c>
      <c r="AU62" s="118">
        <f t="shared" si="20"/>
        <v>6.1000000000000005</v>
      </c>
      <c r="AV62" s="144">
        <v>7.32</v>
      </c>
      <c r="AW62" s="118">
        <f t="shared" si="23"/>
        <v>433.71</v>
      </c>
      <c r="AX62" s="118">
        <f t="shared" si="21"/>
        <v>520.452</v>
      </c>
      <c r="AY62" s="119">
        <f t="shared" si="22"/>
        <v>1700.4766666666667</v>
      </c>
      <c r="AZ62" s="120">
        <f t="shared" si="24"/>
        <v>2040.5719999999999</v>
      </c>
      <c r="BA62" s="9"/>
      <c r="BB62" s="9"/>
      <c r="BC62" s="9"/>
      <c r="BD62" s="9"/>
      <c r="BE62" s="37"/>
      <c r="BF62" s="37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</row>
    <row r="63" spans="1:93" s="4" customFormat="1" ht="366" outlineLevel="1" x14ac:dyDescent="0.25">
      <c r="A63" s="111">
        <v>46</v>
      </c>
      <c r="B63" s="112" t="s">
        <v>21</v>
      </c>
      <c r="C63" s="113" t="s">
        <v>83</v>
      </c>
      <c r="D63" s="114" t="s">
        <v>19</v>
      </c>
      <c r="E63" s="115">
        <f t="shared" si="0"/>
        <v>59.5</v>
      </c>
      <c r="F63" s="116">
        <v>0</v>
      </c>
      <c r="G63" s="116">
        <f t="shared" si="1"/>
        <v>16.666666666666668</v>
      </c>
      <c r="H63" s="116">
        <v>20</v>
      </c>
      <c r="I63" s="116">
        <f t="shared" ref="I63:I108" si="81">H63*F63</f>
        <v>0</v>
      </c>
      <c r="J63" s="115">
        <v>0</v>
      </c>
      <c r="K63" s="116">
        <f t="shared" si="3"/>
        <v>12.916666666666668</v>
      </c>
      <c r="L63" s="116">
        <v>15.5</v>
      </c>
      <c r="M63" s="116">
        <f t="shared" ref="M63:M108" si="82">L63*J63</f>
        <v>0</v>
      </c>
      <c r="N63" s="117">
        <v>59.5</v>
      </c>
      <c r="O63" s="116">
        <f t="shared" si="5"/>
        <v>4.666666666666667</v>
      </c>
      <c r="P63" s="116">
        <v>5.6</v>
      </c>
      <c r="Q63" s="116">
        <f t="shared" ref="Q63:Q108" si="83">P63*N63</f>
        <v>333.2</v>
      </c>
      <c r="R63" s="115">
        <v>0</v>
      </c>
      <c r="S63" s="116">
        <f t="shared" si="26"/>
        <v>15.583333333333334</v>
      </c>
      <c r="T63" s="116">
        <v>18.7</v>
      </c>
      <c r="U63" s="116">
        <f t="shared" ref="U63:U108" si="84">T63*R63</f>
        <v>0</v>
      </c>
      <c r="V63" s="116">
        <v>0</v>
      </c>
      <c r="W63" s="116">
        <f t="shared" si="8"/>
        <v>6.416666666666667</v>
      </c>
      <c r="X63" s="116">
        <v>7.7</v>
      </c>
      <c r="Y63" s="116">
        <f t="shared" ref="Y63:Y108" si="85">X63*V63</f>
        <v>0</v>
      </c>
      <c r="Z63" s="115">
        <v>0</v>
      </c>
      <c r="AA63" s="116">
        <f t="shared" si="10"/>
        <v>6</v>
      </c>
      <c r="AB63" s="116">
        <v>7.2</v>
      </c>
      <c r="AC63" s="116">
        <f t="shared" ref="AC63:AC108" si="86">AB63*Z63</f>
        <v>0</v>
      </c>
      <c r="AD63" s="116">
        <v>0</v>
      </c>
      <c r="AE63" s="116">
        <f t="shared" si="12"/>
        <v>4.666666666666667</v>
      </c>
      <c r="AF63" s="116">
        <v>5.6</v>
      </c>
      <c r="AG63" s="116">
        <f t="shared" ref="AG63:AG108" si="87">AF63*AD63</f>
        <v>0</v>
      </c>
      <c r="AH63" s="117">
        <v>0</v>
      </c>
      <c r="AI63" s="116">
        <f t="shared" si="14"/>
        <v>8.3333333333333339</v>
      </c>
      <c r="AJ63" s="116">
        <v>10</v>
      </c>
      <c r="AK63" s="116">
        <f t="shared" ref="AK63:AK108" si="88">AJ63*AH63</f>
        <v>0</v>
      </c>
      <c r="AL63" s="117">
        <v>0</v>
      </c>
      <c r="AM63" s="116">
        <f t="shared" si="16"/>
        <v>12.750000000000002</v>
      </c>
      <c r="AN63" s="116">
        <v>15.3</v>
      </c>
      <c r="AO63" s="116">
        <f t="shared" ref="AO63:AO108" si="89">AN63*AL63</f>
        <v>0</v>
      </c>
      <c r="AP63" s="116">
        <f t="shared" si="18"/>
        <v>277.66666666666669</v>
      </c>
      <c r="AQ63" s="116">
        <f t="shared" si="19"/>
        <v>333.2</v>
      </c>
      <c r="AR63" s="117">
        <v>0</v>
      </c>
      <c r="AS63" s="116" t="s">
        <v>210</v>
      </c>
      <c r="AT63" s="118">
        <v>0</v>
      </c>
      <c r="AU63" s="118">
        <f t="shared" si="20"/>
        <v>6.1000000000000005</v>
      </c>
      <c r="AV63" s="144">
        <v>7.32</v>
      </c>
      <c r="AW63" s="118">
        <f t="shared" ref="AW63:AW108" si="90">AU63*AR63</f>
        <v>0</v>
      </c>
      <c r="AX63" s="118">
        <f t="shared" ref="AX63:AX108" si="91">AV63*AR63</f>
        <v>0</v>
      </c>
      <c r="AY63" s="119">
        <f t="shared" si="22"/>
        <v>277.66666666666669</v>
      </c>
      <c r="AZ63" s="120">
        <f t="shared" si="24"/>
        <v>333.2</v>
      </c>
      <c r="BA63" s="9"/>
      <c r="BB63" s="9"/>
      <c r="BC63" s="9"/>
      <c r="BD63" s="9"/>
      <c r="BE63" s="37"/>
      <c r="BF63" s="37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</row>
    <row r="64" spans="1:93" s="52" customFormat="1" ht="45.75" outlineLevel="1" x14ac:dyDescent="0.25">
      <c r="A64" s="162" t="s">
        <v>158</v>
      </c>
      <c r="B64" s="163"/>
      <c r="C64" s="163"/>
      <c r="D64" s="131"/>
      <c r="E64" s="115"/>
      <c r="F64" s="131"/>
      <c r="G64" s="116"/>
      <c r="H64" s="131"/>
      <c r="I64" s="131"/>
      <c r="J64" s="131"/>
      <c r="K64" s="116"/>
      <c r="L64" s="116"/>
      <c r="M64" s="131"/>
      <c r="N64" s="131"/>
      <c r="O64" s="116"/>
      <c r="P64" s="116"/>
      <c r="Q64" s="131"/>
      <c r="R64" s="131"/>
      <c r="S64" s="116"/>
      <c r="T64" s="116"/>
      <c r="U64" s="131"/>
      <c r="V64" s="131"/>
      <c r="W64" s="116"/>
      <c r="X64" s="116"/>
      <c r="Y64" s="131"/>
      <c r="Z64" s="131"/>
      <c r="AA64" s="116"/>
      <c r="AB64" s="116"/>
      <c r="AC64" s="131"/>
      <c r="AD64" s="131"/>
      <c r="AE64" s="116"/>
      <c r="AF64" s="116"/>
      <c r="AG64" s="131"/>
      <c r="AH64" s="131"/>
      <c r="AI64" s="116"/>
      <c r="AJ64" s="116"/>
      <c r="AK64" s="131"/>
      <c r="AL64" s="131"/>
      <c r="AM64" s="116"/>
      <c r="AN64" s="116"/>
      <c r="AO64" s="131"/>
      <c r="AP64" s="116"/>
      <c r="AQ64" s="129"/>
      <c r="AR64" s="131"/>
      <c r="AS64" s="116"/>
      <c r="AT64" s="126"/>
      <c r="AU64" s="118"/>
      <c r="AV64" s="144"/>
      <c r="AW64" s="126"/>
      <c r="AX64" s="126"/>
      <c r="AY64" s="127"/>
      <c r="AZ64" s="128"/>
      <c r="BB64" s="9"/>
      <c r="BC64" s="9"/>
      <c r="BD64" s="9"/>
      <c r="BE64" s="9"/>
      <c r="BF64" s="9"/>
      <c r="CJ64" s="53"/>
      <c r="CK64" s="53"/>
      <c r="CL64" s="53"/>
      <c r="CM64" s="53"/>
      <c r="CN64" s="53"/>
      <c r="CO64" s="53"/>
    </row>
    <row r="65" spans="1:93" s="4" customFormat="1" ht="274.5" outlineLevel="1" x14ac:dyDescent="0.25">
      <c r="A65" s="111">
        <v>47</v>
      </c>
      <c r="B65" s="112" t="s">
        <v>185</v>
      </c>
      <c r="C65" s="113" t="s">
        <v>84</v>
      </c>
      <c r="D65" s="114" t="s">
        <v>19</v>
      </c>
      <c r="E65" s="115">
        <f t="shared" si="0"/>
        <v>804.7</v>
      </c>
      <c r="F65" s="116">
        <v>0</v>
      </c>
      <c r="G65" s="116">
        <f t="shared" si="1"/>
        <v>16.666666666666668</v>
      </c>
      <c r="H65" s="116">
        <v>20</v>
      </c>
      <c r="I65" s="116">
        <f t="shared" si="81"/>
        <v>0</v>
      </c>
      <c r="J65" s="115">
        <f>95.8</f>
        <v>95.8</v>
      </c>
      <c r="K65" s="116">
        <f t="shared" si="3"/>
        <v>12.916666666666668</v>
      </c>
      <c r="L65" s="116">
        <v>15.5</v>
      </c>
      <c r="M65" s="116">
        <f t="shared" si="82"/>
        <v>1484.8999999999999</v>
      </c>
      <c r="N65" s="117">
        <v>362.7</v>
      </c>
      <c r="O65" s="116">
        <f t="shared" si="5"/>
        <v>4.666666666666667</v>
      </c>
      <c r="P65" s="116">
        <v>5.6</v>
      </c>
      <c r="Q65" s="116">
        <f t="shared" si="83"/>
        <v>2031.12</v>
      </c>
      <c r="R65" s="115">
        <v>0</v>
      </c>
      <c r="S65" s="116">
        <f t="shared" si="26"/>
        <v>15.583333333333334</v>
      </c>
      <c r="T65" s="116">
        <v>18.7</v>
      </c>
      <c r="U65" s="116">
        <f t="shared" si="84"/>
        <v>0</v>
      </c>
      <c r="V65" s="116">
        <f>6.5+55</f>
        <v>61.5</v>
      </c>
      <c r="W65" s="116">
        <f t="shared" si="8"/>
        <v>6.416666666666667</v>
      </c>
      <c r="X65" s="116">
        <v>7.7</v>
      </c>
      <c r="Y65" s="116">
        <f t="shared" si="85"/>
        <v>473.55</v>
      </c>
      <c r="Z65" s="115">
        <f>90.4+5+52+12+48.1</f>
        <v>207.5</v>
      </c>
      <c r="AA65" s="116">
        <f t="shared" si="10"/>
        <v>6</v>
      </c>
      <c r="AB65" s="116">
        <v>7.2</v>
      </c>
      <c r="AC65" s="116">
        <f t="shared" si="86"/>
        <v>1494</v>
      </c>
      <c r="AD65" s="115">
        <f>SUM(AD66:AD74)</f>
        <v>0</v>
      </c>
      <c r="AE65" s="116">
        <f t="shared" si="12"/>
        <v>4.666666666666667</v>
      </c>
      <c r="AF65" s="116">
        <v>5.6</v>
      </c>
      <c r="AG65" s="116">
        <f t="shared" si="87"/>
        <v>0</v>
      </c>
      <c r="AH65" s="117">
        <v>0</v>
      </c>
      <c r="AI65" s="116">
        <f t="shared" si="14"/>
        <v>8.3333333333333339</v>
      </c>
      <c r="AJ65" s="116">
        <v>10</v>
      </c>
      <c r="AK65" s="116">
        <f t="shared" si="88"/>
        <v>0</v>
      </c>
      <c r="AL65" s="117">
        <v>77.2</v>
      </c>
      <c r="AM65" s="116">
        <f t="shared" si="16"/>
        <v>12.750000000000002</v>
      </c>
      <c r="AN65" s="116">
        <v>15.3</v>
      </c>
      <c r="AO65" s="116">
        <f t="shared" si="89"/>
        <v>1181.1600000000001</v>
      </c>
      <c r="AP65" s="116">
        <f t="shared" si="18"/>
        <v>5553.9416666666666</v>
      </c>
      <c r="AQ65" s="116">
        <f t="shared" ref="AQ65:AQ108" si="92">I65+M65+Q65+U65+Y65+AC65+AG65+AK65+AO65</f>
        <v>6664.73</v>
      </c>
      <c r="AR65" s="117">
        <f>1516+6</f>
        <v>1522</v>
      </c>
      <c r="AS65" s="116" t="s">
        <v>210</v>
      </c>
      <c r="AT65" s="118">
        <v>0</v>
      </c>
      <c r="AU65" s="118">
        <f t="shared" si="20"/>
        <v>6.1000000000000005</v>
      </c>
      <c r="AV65" s="144">
        <v>7.32</v>
      </c>
      <c r="AW65" s="118">
        <f t="shared" si="90"/>
        <v>9284.2000000000007</v>
      </c>
      <c r="AX65" s="118">
        <f t="shared" si="91"/>
        <v>11141.04</v>
      </c>
      <c r="AY65" s="119">
        <f t="shared" ref="AY65:AZ108" si="93">AP65+AW65</f>
        <v>14838.141666666666</v>
      </c>
      <c r="AZ65" s="120">
        <f t="shared" si="93"/>
        <v>17805.77</v>
      </c>
      <c r="BA65" s="9"/>
      <c r="BB65" s="9"/>
      <c r="BC65" s="9"/>
      <c r="BD65" s="9"/>
      <c r="BE65" s="37"/>
      <c r="BF65" s="37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</row>
    <row r="66" spans="1:93" s="4" customFormat="1" ht="228.75" outlineLevel="1" x14ac:dyDescent="0.25">
      <c r="A66" s="111">
        <f>A65+1</f>
        <v>48</v>
      </c>
      <c r="B66" s="112" t="s">
        <v>177</v>
      </c>
      <c r="C66" s="113" t="s">
        <v>85</v>
      </c>
      <c r="D66" s="114" t="s">
        <v>19</v>
      </c>
      <c r="E66" s="115">
        <f t="shared" si="0"/>
        <v>1013.4</v>
      </c>
      <c r="F66" s="116">
        <v>0</v>
      </c>
      <c r="G66" s="116">
        <f t="shared" si="1"/>
        <v>16.666666666666668</v>
      </c>
      <c r="H66" s="116">
        <v>20</v>
      </c>
      <c r="I66" s="116">
        <f t="shared" si="81"/>
        <v>0</v>
      </c>
      <c r="J66" s="115">
        <f>85.1+65+185.4+62.5+56.3</f>
        <v>454.3</v>
      </c>
      <c r="K66" s="116">
        <f t="shared" si="3"/>
        <v>12.916666666666668</v>
      </c>
      <c r="L66" s="116">
        <v>15.5</v>
      </c>
      <c r="M66" s="116">
        <f t="shared" ref="M66:M69" si="94">L66*J66</f>
        <v>7041.6500000000005</v>
      </c>
      <c r="N66" s="117">
        <v>140.30000000000001</v>
      </c>
      <c r="O66" s="116">
        <f t="shared" si="5"/>
        <v>4.666666666666667</v>
      </c>
      <c r="P66" s="116">
        <v>5.6</v>
      </c>
      <c r="Q66" s="116">
        <f t="shared" ref="Q66:Q70" si="95">P66*N66</f>
        <v>785.68000000000006</v>
      </c>
      <c r="R66" s="115">
        <v>0</v>
      </c>
      <c r="S66" s="116">
        <f t="shared" si="26"/>
        <v>15.583333333333334</v>
      </c>
      <c r="T66" s="116">
        <v>18.7</v>
      </c>
      <c r="U66" s="116">
        <f t="shared" ref="U66:U68" si="96">T66*R66</f>
        <v>0</v>
      </c>
      <c r="V66" s="116">
        <f>30.3+10+1</f>
        <v>41.3</v>
      </c>
      <c r="W66" s="116">
        <f t="shared" si="8"/>
        <v>6.416666666666667</v>
      </c>
      <c r="X66" s="116">
        <v>7.7</v>
      </c>
      <c r="Y66" s="116">
        <f t="shared" ref="Y66:Y69" si="97">X66*V66</f>
        <v>318.01</v>
      </c>
      <c r="Z66" s="115">
        <f>101.9+74.9+11.5+32.7+91.9+35.1+8.1</f>
        <v>356.1</v>
      </c>
      <c r="AA66" s="116">
        <f t="shared" si="10"/>
        <v>6</v>
      </c>
      <c r="AB66" s="116">
        <v>7.2</v>
      </c>
      <c r="AC66" s="116">
        <f t="shared" ref="AC66:AC69" si="98">AB66*Z66</f>
        <v>2563.92</v>
      </c>
      <c r="AD66" s="116">
        <v>0</v>
      </c>
      <c r="AE66" s="116">
        <f t="shared" si="12"/>
        <v>4.666666666666667</v>
      </c>
      <c r="AF66" s="116">
        <v>5.6</v>
      </c>
      <c r="AG66" s="116">
        <f t="shared" ref="AG66:AG69" si="99">AF66*AD66</f>
        <v>0</v>
      </c>
      <c r="AH66" s="117">
        <v>0</v>
      </c>
      <c r="AI66" s="116">
        <f t="shared" si="14"/>
        <v>8.3333333333333339</v>
      </c>
      <c r="AJ66" s="116">
        <v>10</v>
      </c>
      <c r="AK66" s="116">
        <f t="shared" ref="AK66:AK74" si="100">AJ66*AH66</f>
        <v>0</v>
      </c>
      <c r="AL66" s="117">
        <v>21.4</v>
      </c>
      <c r="AM66" s="116">
        <f t="shared" si="16"/>
        <v>12.750000000000002</v>
      </c>
      <c r="AN66" s="116">
        <v>15.3</v>
      </c>
      <c r="AO66" s="116">
        <f t="shared" ref="AO66:AO69" si="101">AN66*AL66</f>
        <v>327.42</v>
      </c>
      <c r="AP66" s="116">
        <f t="shared" si="18"/>
        <v>9197.2333333333354</v>
      </c>
      <c r="AQ66" s="116">
        <f t="shared" si="92"/>
        <v>11036.680000000002</v>
      </c>
      <c r="AR66" s="117">
        <f>1472.6+63</f>
        <v>1535.6</v>
      </c>
      <c r="AS66" s="116" t="s">
        <v>210</v>
      </c>
      <c r="AT66" s="118">
        <v>0</v>
      </c>
      <c r="AU66" s="118">
        <f t="shared" si="20"/>
        <v>6.1000000000000005</v>
      </c>
      <c r="AV66" s="144">
        <v>7.32</v>
      </c>
      <c r="AW66" s="118">
        <f t="shared" ref="AW66:AW68" si="102">AU66*AR66</f>
        <v>9367.16</v>
      </c>
      <c r="AX66" s="118">
        <f t="shared" ref="AX66:AX68" si="103">AV66*AR66</f>
        <v>11240.592000000001</v>
      </c>
      <c r="AY66" s="119">
        <f t="shared" si="93"/>
        <v>18564.393333333333</v>
      </c>
      <c r="AZ66" s="120">
        <f t="shared" si="93"/>
        <v>22277.272000000004</v>
      </c>
      <c r="BA66" s="9"/>
      <c r="BB66" s="9"/>
      <c r="BC66" s="9"/>
      <c r="BD66" s="9"/>
      <c r="BE66" s="37"/>
      <c r="BF66" s="37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</row>
    <row r="67" spans="1:93" s="4" customFormat="1" ht="228.75" outlineLevel="1" x14ac:dyDescent="0.25">
      <c r="A67" s="111">
        <f t="shared" ref="A67:A70" si="104">A66+1</f>
        <v>49</v>
      </c>
      <c r="B67" s="112" t="s">
        <v>21</v>
      </c>
      <c r="C67" s="113" t="s">
        <v>86</v>
      </c>
      <c r="D67" s="114" t="s">
        <v>19</v>
      </c>
      <c r="E67" s="115">
        <f t="shared" si="0"/>
        <v>205.3</v>
      </c>
      <c r="F67" s="116">
        <v>0</v>
      </c>
      <c r="G67" s="116">
        <f t="shared" si="1"/>
        <v>16.666666666666668</v>
      </c>
      <c r="H67" s="116">
        <v>20</v>
      </c>
      <c r="I67" s="116">
        <f t="shared" ref="I67:I69" si="105">H67*F67</f>
        <v>0</v>
      </c>
      <c r="J67" s="115">
        <f>35.1+14.2</f>
        <v>49.3</v>
      </c>
      <c r="K67" s="116">
        <f t="shared" si="3"/>
        <v>12.916666666666668</v>
      </c>
      <c r="L67" s="116">
        <v>15.5</v>
      </c>
      <c r="M67" s="116">
        <f t="shared" si="94"/>
        <v>764.15</v>
      </c>
      <c r="N67" s="117">
        <v>28.4</v>
      </c>
      <c r="O67" s="116">
        <f t="shared" si="5"/>
        <v>4.666666666666667</v>
      </c>
      <c r="P67" s="116">
        <v>5.6</v>
      </c>
      <c r="Q67" s="116">
        <f t="shared" si="95"/>
        <v>159.04</v>
      </c>
      <c r="R67" s="115">
        <v>0</v>
      </c>
      <c r="S67" s="116">
        <f t="shared" si="26"/>
        <v>15.583333333333334</v>
      </c>
      <c r="T67" s="116">
        <v>18.7</v>
      </c>
      <c r="U67" s="116">
        <f t="shared" si="96"/>
        <v>0</v>
      </c>
      <c r="V67" s="116">
        <v>4.9000000000000004</v>
      </c>
      <c r="W67" s="116">
        <f t="shared" si="8"/>
        <v>6.416666666666667</v>
      </c>
      <c r="X67" s="116">
        <v>7.7</v>
      </c>
      <c r="Y67" s="116">
        <f t="shared" si="97"/>
        <v>37.730000000000004</v>
      </c>
      <c r="Z67" s="115">
        <f>80.5+42.2</f>
        <v>122.7</v>
      </c>
      <c r="AA67" s="116">
        <f t="shared" si="10"/>
        <v>6</v>
      </c>
      <c r="AB67" s="116">
        <v>7.2</v>
      </c>
      <c r="AC67" s="116">
        <f t="shared" si="98"/>
        <v>883.44</v>
      </c>
      <c r="AD67" s="116">
        <v>0</v>
      </c>
      <c r="AE67" s="116">
        <f t="shared" si="12"/>
        <v>4.666666666666667</v>
      </c>
      <c r="AF67" s="116">
        <v>5.6</v>
      </c>
      <c r="AG67" s="116">
        <f t="shared" si="99"/>
        <v>0</v>
      </c>
      <c r="AH67" s="117">
        <v>0</v>
      </c>
      <c r="AI67" s="116">
        <f t="shared" si="14"/>
        <v>8.3333333333333339</v>
      </c>
      <c r="AJ67" s="116">
        <v>10</v>
      </c>
      <c r="AK67" s="116">
        <f t="shared" si="100"/>
        <v>0</v>
      </c>
      <c r="AL67" s="117">
        <v>0</v>
      </c>
      <c r="AM67" s="116">
        <f t="shared" si="16"/>
        <v>12.750000000000002</v>
      </c>
      <c r="AN67" s="116">
        <v>15.3</v>
      </c>
      <c r="AO67" s="116">
        <f t="shared" si="101"/>
        <v>0</v>
      </c>
      <c r="AP67" s="116">
        <f t="shared" si="18"/>
        <v>1536.9666666666669</v>
      </c>
      <c r="AQ67" s="116">
        <f t="shared" si="92"/>
        <v>1844.3600000000001</v>
      </c>
      <c r="AR67" s="117">
        <f>531.4+12</f>
        <v>543.4</v>
      </c>
      <c r="AS67" s="116" t="s">
        <v>210</v>
      </c>
      <c r="AT67" s="118">
        <v>0</v>
      </c>
      <c r="AU67" s="118">
        <f t="shared" si="20"/>
        <v>6.1000000000000005</v>
      </c>
      <c r="AV67" s="144">
        <v>7.32</v>
      </c>
      <c r="AW67" s="118">
        <f t="shared" si="102"/>
        <v>3314.7400000000002</v>
      </c>
      <c r="AX67" s="118">
        <f t="shared" si="103"/>
        <v>3977.6880000000001</v>
      </c>
      <c r="AY67" s="119">
        <f t="shared" si="93"/>
        <v>4851.7066666666669</v>
      </c>
      <c r="AZ67" s="120">
        <f t="shared" si="93"/>
        <v>5822.0480000000007</v>
      </c>
      <c r="BA67" s="9"/>
      <c r="BB67" s="9"/>
      <c r="BC67" s="9"/>
      <c r="BD67" s="9"/>
      <c r="BE67" s="37"/>
      <c r="BF67" s="37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</row>
    <row r="68" spans="1:93" s="4" customFormat="1" ht="320.25" outlineLevel="1" x14ac:dyDescent="0.25">
      <c r="A68" s="111">
        <f t="shared" si="104"/>
        <v>50</v>
      </c>
      <c r="B68" s="112" t="s">
        <v>21</v>
      </c>
      <c r="C68" s="113" t="s">
        <v>87</v>
      </c>
      <c r="D68" s="114" t="s">
        <v>19</v>
      </c>
      <c r="E68" s="115">
        <f t="shared" si="0"/>
        <v>14.5</v>
      </c>
      <c r="F68" s="116">
        <v>0</v>
      </c>
      <c r="G68" s="116">
        <f t="shared" ref="G68:G119" si="106">H68/1.2</f>
        <v>16.666666666666668</v>
      </c>
      <c r="H68" s="116">
        <v>20</v>
      </c>
      <c r="I68" s="116">
        <f t="shared" si="105"/>
        <v>0</v>
      </c>
      <c r="J68" s="115">
        <v>0</v>
      </c>
      <c r="K68" s="116">
        <f t="shared" ref="K68:K119" si="107">L68/1.2</f>
        <v>12.916666666666668</v>
      </c>
      <c r="L68" s="116">
        <v>15.5</v>
      </c>
      <c r="M68" s="116">
        <f t="shared" si="94"/>
        <v>0</v>
      </c>
      <c r="N68" s="117">
        <v>14.5</v>
      </c>
      <c r="O68" s="116">
        <f t="shared" ref="O68:O119" si="108">P68/1.2</f>
        <v>4.666666666666667</v>
      </c>
      <c r="P68" s="116">
        <v>5.6</v>
      </c>
      <c r="Q68" s="116">
        <f t="shared" si="95"/>
        <v>81.199999999999989</v>
      </c>
      <c r="R68" s="115">
        <v>0</v>
      </c>
      <c r="S68" s="116">
        <f t="shared" si="26"/>
        <v>15.583333333333334</v>
      </c>
      <c r="T68" s="116">
        <v>18.7</v>
      </c>
      <c r="U68" s="116">
        <f t="shared" si="96"/>
        <v>0</v>
      </c>
      <c r="V68" s="116">
        <v>0</v>
      </c>
      <c r="W68" s="116">
        <f t="shared" ref="W68:W119" si="109">X68/1.2</f>
        <v>6.416666666666667</v>
      </c>
      <c r="X68" s="116">
        <v>7.7</v>
      </c>
      <c r="Y68" s="116">
        <f t="shared" si="97"/>
        <v>0</v>
      </c>
      <c r="Z68" s="115">
        <v>0</v>
      </c>
      <c r="AA68" s="116">
        <f t="shared" ref="AA68:AA119" si="110">AB68/1.2</f>
        <v>6</v>
      </c>
      <c r="AB68" s="116">
        <v>7.2</v>
      </c>
      <c r="AC68" s="116">
        <f t="shared" si="98"/>
        <v>0</v>
      </c>
      <c r="AD68" s="116">
        <v>0</v>
      </c>
      <c r="AE68" s="116">
        <f t="shared" ref="AE68:AE119" si="111">AF68/1.2</f>
        <v>4.666666666666667</v>
      </c>
      <c r="AF68" s="116">
        <v>5.6</v>
      </c>
      <c r="AG68" s="116">
        <f t="shared" si="99"/>
        <v>0</v>
      </c>
      <c r="AH68" s="117">
        <v>0</v>
      </c>
      <c r="AI68" s="116">
        <f t="shared" ref="AI68:AI119" si="112">AJ68/1.2</f>
        <v>8.3333333333333339</v>
      </c>
      <c r="AJ68" s="116">
        <v>10</v>
      </c>
      <c r="AK68" s="116">
        <f t="shared" si="100"/>
        <v>0</v>
      </c>
      <c r="AL68" s="117">
        <v>0</v>
      </c>
      <c r="AM68" s="116">
        <f t="shared" si="16"/>
        <v>12.750000000000002</v>
      </c>
      <c r="AN68" s="116">
        <v>15.3</v>
      </c>
      <c r="AO68" s="116">
        <f t="shared" si="101"/>
        <v>0</v>
      </c>
      <c r="AP68" s="116">
        <f t="shared" ref="AP68:AP119" si="113">AQ68/1.2</f>
        <v>67.666666666666657</v>
      </c>
      <c r="AQ68" s="116">
        <f t="shared" si="92"/>
        <v>81.199999999999989</v>
      </c>
      <c r="AR68" s="117">
        <f>1212.9+6</f>
        <v>1218.9000000000001</v>
      </c>
      <c r="AS68" s="116" t="s">
        <v>210</v>
      </c>
      <c r="AT68" s="118">
        <v>0</v>
      </c>
      <c r="AU68" s="118">
        <f t="shared" ref="AU68:AU119" si="114">AV68/1.2</f>
        <v>6.1000000000000005</v>
      </c>
      <c r="AV68" s="144">
        <v>7.32</v>
      </c>
      <c r="AW68" s="118">
        <f t="shared" si="102"/>
        <v>7435.2900000000009</v>
      </c>
      <c r="AX68" s="118">
        <f t="shared" si="103"/>
        <v>8922.3480000000018</v>
      </c>
      <c r="AY68" s="119">
        <f t="shared" si="93"/>
        <v>7502.9566666666678</v>
      </c>
      <c r="AZ68" s="120">
        <f t="shared" si="93"/>
        <v>9003.5480000000025</v>
      </c>
      <c r="BA68" s="9"/>
      <c r="BB68" s="9"/>
      <c r="BC68" s="9"/>
      <c r="BD68" s="9"/>
      <c r="BE68" s="37"/>
      <c r="BF68" s="37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</row>
    <row r="69" spans="1:93" s="4" customFormat="1" ht="320.25" outlineLevel="1" x14ac:dyDescent="0.25">
      <c r="A69" s="111">
        <f t="shared" si="104"/>
        <v>51</v>
      </c>
      <c r="B69" s="112" t="s">
        <v>21</v>
      </c>
      <c r="C69" s="113" t="s">
        <v>88</v>
      </c>
      <c r="D69" s="114" t="s">
        <v>19</v>
      </c>
      <c r="E69" s="115">
        <f t="shared" ref="E69:E119" si="115">F69+J69+N69+R69+V69+Z69+AD69+AH69+AL69</f>
        <v>38.4</v>
      </c>
      <c r="F69" s="116">
        <v>0</v>
      </c>
      <c r="G69" s="116">
        <f t="shared" si="106"/>
        <v>16.666666666666668</v>
      </c>
      <c r="H69" s="116">
        <v>20</v>
      </c>
      <c r="I69" s="116">
        <f t="shared" si="105"/>
        <v>0</v>
      </c>
      <c r="J69" s="115">
        <v>0</v>
      </c>
      <c r="K69" s="116">
        <f t="shared" si="107"/>
        <v>12.916666666666668</v>
      </c>
      <c r="L69" s="116">
        <v>15.5</v>
      </c>
      <c r="M69" s="116">
        <f t="shared" si="94"/>
        <v>0</v>
      </c>
      <c r="N69" s="117">
        <v>18.2</v>
      </c>
      <c r="O69" s="116">
        <f t="shared" si="108"/>
        <v>4.666666666666667</v>
      </c>
      <c r="P69" s="116">
        <v>5.6</v>
      </c>
      <c r="Q69" s="116">
        <f t="shared" si="95"/>
        <v>101.91999999999999</v>
      </c>
      <c r="R69" s="115">
        <v>0</v>
      </c>
      <c r="S69" s="116">
        <f t="shared" si="26"/>
        <v>15.583333333333334</v>
      </c>
      <c r="T69" s="116">
        <v>18.7</v>
      </c>
      <c r="U69" s="116">
        <f t="shared" si="84"/>
        <v>0</v>
      </c>
      <c r="V69" s="116">
        <v>0</v>
      </c>
      <c r="W69" s="116">
        <f t="shared" si="109"/>
        <v>6.416666666666667</v>
      </c>
      <c r="X69" s="116">
        <v>7.7</v>
      </c>
      <c r="Y69" s="116">
        <f t="shared" si="97"/>
        <v>0</v>
      </c>
      <c r="Z69" s="115">
        <f>20.2</f>
        <v>20.2</v>
      </c>
      <c r="AA69" s="116">
        <f t="shared" si="110"/>
        <v>6</v>
      </c>
      <c r="AB69" s="116">
        <v>7.2</v>
      </c>
      <c r="AC69" s="116">
        <f t="shared" si="98"/>
        <v>145.44</v>
      </c>
      <c r="AD69" s="116">
        <v>0</v>
      </c>
      <c r="AE69" s="116">
        <f t="shared" si="111"/>
        <v>4.666666666666667</v>
      </c>
      <c r="AF69" s="116">
        <v>5.6</v>
      </c>
      <c r="AG69" s="116">
        <f t="shared" si="99"/>
        <v>0</v>
      </c>
      <c r="AH69" s="117">
        <v>0</v>
      </c>
      <c r="AI69" s="116">
        <f t="shared" si="112"/>
        <v>8.3333333333333339</v>
      </c>
      <c r="AJ69" s="116">
        <v>10</v>
      </c>
      <c r="AK69" s="116">
        <f t="shared" si="100"/>
        <v>0</v>
      </c>
      <c r="AL69" s="117">
        <v>0</v>
      </c>
      <c r="AM69" s="116">
        <f t="shared" ref="AM69:AM119" si="116">AN69/1.2</f>
        <v>12.750000000000002</v>
      </c>
      <c r="AN69" s="116">
        <v>15.3</v>
      </c>
      <c r="AO69" s="116">
        <f t="shared" si="101"/>
        <v>0</v>
      </c>
      <c r="AP69" s="116">
        <f t="shared" si="113"/>
        <v>206.13333333333333</v>
      </c>
      <c r="AQ69" s="116">
        <f t="shared" si="92"/>
        <v>247.35999999999999</v>
      </c>
      <c r="AR69" s="117">
        <f>477.2+26.1</f>
        <v>503.3</v>
      </c>
      <c r="AS69" s="116" t="s">
        <v>210</v>
      </c>
      <c r="AT69" s="118">
        <v>0</v>
      </c>
      <c r="AU69" s="118">
        <f t="shared" si="114"/>
        <v>6.1000000000000005</v>
      </c>
      <c r="AV69" s="144">
        <v>7.32</v>
      </c>
      <c r="AW69" s="118">
        <f t="shared" si="90"/>
        <v>3070.1300000000006</v>
      </c>
      <c r="AX69" s="118">
        <f t="shared" si="91"/>
        <v>3684.1560000000004</v>
      </c>
      <c r="AY69" s="119">
        <f t="shared" si="93"/>
        <v>3276.2633333333338</v>
      </c>
      <c r="AZ69" s="120">
        <f t="shared" si="93"/>
        <v>3931.5160000000005</v>
      </c>
      <c r="BA69" s="9"/>
      <c r="BB69" s="9"/>
      <c r="BC69" s="9"/>
      <c r="BD69" s="9"/>
      <c r="BE69" s="37"/>
      <c r="BF69" s="37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</row>
    <row r="70" spans="1:93" s="4" customFormat="1" ht="366" outlineLevel="1" x14ac:dyDescent="0.25">
      <c r="A70" s="111">
        <f t="shared" si="104"/>
        <v>52</v>
      </c>
      <c r="B70" s="112" t="s">
        <v>21</v>
      </c>
      <c r="C70" s="113" t="s">
        <v>89</v>
      </c>
      <c r="D70" s="114" t="s">
        <v>19</v>
      </c>
      <c r="E70" s="115">
        <f t="shared" si="115"/>
        <v>40</v>
      </c>
      <c r="F70" s="116">
        <v>0</v>
      </c>
      <c r="G70" s="116">
        <f t="shared" si="106"/>
        <v>16.666666666666668</v>
      </c>
      <c r="H70" s="116">
        <v>20</v>
      </c>
      <c r="I70" s="116">
        <f t="shared" si="81"/>
        <v>0</v>
      </c>
      <c r="J70" s="115">
        <v>0</v>
      </c>
      <c r="K70" s="116">
        <f t="shared" si="107"/>
        <v>12.916666666666668</v>
      </c>
      <c r="L70" s="116">
        <v>15.5</v>
      </c>
      <c r="M70" s="116">
        <f t="shared" si="82"/>
        <v>0</v>
      </c>
      <c r="N70" s="117">
        <v>40</v>
      </c>
      <c r="O70" s="116">
        <f t="shared" si="108"/>
        <v>4.666666666666667</v>
      </c>
      <c r="P70" s="116">
        <v>5.6</v>
      </c>
      <c r="Q70" s="116">
        <f t="shared" si="95"/>
        <v>224</v>
      </c>
      <c r="R70" s="115">
        <v>0</v>
      </c>
      <c r="S70" s="116">
        <f t="shared" si="26"/>
        <v>15.583333333333334</v>
      </c>
      <c r="T70" s="116">
        <v>18.7</v>
      </c>
      <c r="U70" s="116">
        <f t="shared" si="84"/>
        <v>0</v>
      </c>
      <c r="V70" s="116">
        <v>0</v>
      </c>
      <c r="W70" s="116">
        <f t="shared" si="109"/>
        <v>6.416666666666667</v>
      </c>
      <c r="X70" s="116">
        <v>7.7</v>
      </c>
      <c r="Y70" s="116">
        <f t="shared" si="85"/>
        <v>0</v>
      </c>
      <c r="Z70" s="115">
        <v>0</v>
      </c>
      <c r="AA70" s="116">
        <f t="shared" si="110"/>
        <v>6</v>
      </c>
      <c r="AB70" s="116">
        <v>7.2</v>
      </c>
      <c r="AC70" s="116">
        <f t="shared" si="86"/>
        <v>0</v>
      </c>
      <c r="AD70" s="116">
        <v>0</v>
      </c>
      <c r="AE70" s="116">
        <f t="shared" si="111"/>
        <v>4.666666666666667</v>
      </c>
      <c r="AF70" s="116">
        <v>5.6</v>
      </c>
      <c r="AG70" s="116">
        <f t="shared" si="87"/>
        <v>0</v>
      </c>
      <c r="AH70" s="117">
        <v>0</v>
      </c>
      <c r="AI70" s="116">
        <f t="shared" si="112"/>
        <v>8.3333333333333339</v>
      </c>
      <c r="AJ70" s="116">
        <v>10</v>
      </c>
      <c r="AK70" s="116">
        <f t="shared" si="100"/>
        <v>0</v>
      </c>
      <c r="AL70" s="117">
        <v>0</v>
      </c>
      <c r="AM70" s="116">
        <f t="shared" si="116"/>
        <v>12.750000000000002</v>
      </c>
      <c r="AN70" s="116">
        <v>15.3</v>
      </c>
      <c r="AO70" s="116">
        <f t="shared" si="89"/>
        <v>0</v>
      </c>
      <c r="AP70" s="116">
        <f t="shared" si="113"/>
        <v>186.66666666666669</v>
      </c>
      <c r="AQ70" s="116">
        <f t="shared" si="92"/>
        <v>224</v>
      </c>
      <c r="AR70" s="117">
        <f>10</f>
        <v>10</v>
      </c>
      <c r="AS70" s="116" t="s">
        <v>210</v>
      </c>
      <c r="AT70" s="118">
        <v>0</v>
      </c>
      <c r="AU70" s="118">
        <f t="shared" si="114"/>
        <v>6.1000000000000005</v>
      </c>
      <c r="AV70" s="144">
        <v>7.32</v>
      </c>
      <c r="AW70" s="118">
        <f t="shared" si="90"/>
        <v>61.000000000000007</v>
      </c>
      <c r="AX70" s="118">
        <f t="shared" si="91"/>
        <v>73.2</v>
      </c>
      <c r="AY70" s="119">
        <f t="shared" si="93"/>
        <v>247.66666666666669</v>
      </c>
      <c r="AZ70" s="120">
        <f t="shared" si="93"/>
        <v>297.2</v>
      </c>
      <c r="BA70" s="9"/>
      <c r="BB70" s="9"/>
      <c r="BC70" s="9"/>
      <c r="BD70" s="9"/>
      <c r="BE70" s="37"/>
      <c r="BF70" s="37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</row>
    <row r="71" spans="1:93" s="4" customFormat="1" ht="320.25" outlineLevel="1" x14ac:dyDescent="0.25">
      <c r="A71" s="111">
        <v>53</v>
      </c>
      <c r="B71" s="112" t="s">
        <v>177</v>
      </c>
      <c r="C71" s="113" t="s">
        <v>90</v>
      </c>
      <c r="D71" s="114" t="s">
        <v>19</v>
      </c>
      <c r="E71" s="115">
        <f t="shared" si="115"/>
        <v>15</v>
      </c>
      <c r="F71" s="116">
        <v>0</v>
      </c>
      <c r="G71" s="116">
        <f t="shared" si="106"/>
        <v>16.666666666666668</v>
      </c>
      <c r="H71" s="116">
        <v>20</v>
      </c>
      <c r="I71" s="116">
        <f t="shared" si="81"/>
        <v>0</v>
      </c>
      <c r="J71" s="115">
        <v>0</v>
      </c>
      <c r="K71" s="116">
        <f t="shared" si="107"/>
        <v>12.916666666666668</v>
      </c>
      <c r="L71" s="116">
        <v>15.5</v>
      </c>
      <c r="M71" s="116">
        <f t="shared" si="82"/>
        <v>0</v>
      </c>
      <c r="N71" s="117">
        <v>15</v>
      </c>
      <c r="O71" s="116">
        <f t="shared" si="108"/>
        <v>4.666666666666667</v>
      </c>
      <c r="P71" s="116">
        <v>5.6</v>
      </c>
      <c r="Q71" s="116">
        <f t="shared" si="83"/>
        <v>84</v>
      </c>
      <c r="R71" s="115">
        <v>0</v>
      </c>
      <c r="S71" s="116">
        <f t="shared" ref="S71:S121" si="117">T71/1.2</f>
        <v>15.583333333333334</v>
      </c>
      <c r="T71" s="116">
        <v>18.7</v>
      </c>
      <c r="U71" s="116">
        <f t="shared" si="84"/>
        <v>0</v>
      </c>
      <c r="V71" s="116">
        <v>0</v>
      </c>
      <c r="W71" s="116">
        <f t="shared" si="109"/>
        <v>6.416666666666667</v>
      </c>
      <c r="X71" s="116">
        <v>7.7</v>
      </c>
      <c r="Y71" s="116">
        <f t="shared" si="85"/>
        <v>0</v>
      </c>
      <c r="Z71" s="115">
        <v>0</v>
      </c>
      <c r="AA71" s="116">
        <f t="shared" si="110"/>
        <v>6</v>
      </c>
      <c r="AB71" s="116">
        <v>7.2</v>
      </c>
      <c r="AC71" s="116">
        <f t="shared" si="86"/>
        <v>0</v>
      </c>
      <c r="AD71" s="116">
        <v>0</v>
      </c>
      <c r="AE71" s="116">
        <f t="shared" si="111"/>
        <v>4.666666666666667</v>
      </c>
      <c r="AF71" s="116">
        <v>5.6</v>
      </c>
      <c r="AG71" s="116">
        <f t="shared" si="87"/>
        <v>0</v>
      </c>
      <c r="AH71" s="117">
        <v>0</v>
      </c>
      <c r="AI71" s="116">
        <f t="shared" si="112"/>
        <v>8.3333333333333339</v>
      </c>
      <c r="AJ71" s="116">
        <v>10</v>
      </c>
      <c r="AK71" s="116">
        <f t="shared" si="100"/>
        <v>0</v>
      </c>
      <c r="AL71" s="117">
        <v>0</v>
      </c>
      <c r="AM71" s="116">
        <f t="shared" si="116"/>
        <v>12.750000000000002</v>
      </c>
      <c r="AN71" s="116">
        <v>15.3</v>
      </c>
      <c r="AO71" s="116">
        <f t="shared" si="89"/>
        <v>0</v>
      </c>
      <c r="AP71" s="116">
        <f t="shared" si="113"/>
        <v>70</v>
      </c>
      <c r="AQ71" s="116">
        <f t="shared" si="92"/>
        <v>84</v>
      </c>
      <c r="AR71" s="117">
        <v>0</v>
      </c>
      <c r="AS71" s="116" t="s">
        <v>210</v>
      </c>
      <c r="AT71" s="118">
        <v>0</v>
      </c>
      <c r="AU71" s="118">
        <f t="shared" si="114"/>
        <v>6.1000000000000005</v>
      </c>
      <c r="AV71" s="144">
        <v>7.32</v>
      </c>
      <c r="AW71" s="118">
        <f t="shared" si="90"/>
        <v>0</v>
      </c>
      <c r="AX71" s="118">
        <f t="shared" si="91"/>
        <v>0</v>
      </c>
      <c r="AY71" s="119">
        <f t="shared" si="93"/>
        <v>70</v>
      </c>
      <c r="AZ71" s="120">
        <f t="shared" si="93"/>
        <v>84</v>
      </c>
      <c r="BA71" s="9"/>
      <c r="BB71" s="9"/>
      <c r="BC71" s="9"/>
      <c r="BD71" s="9"/>
      <c r="BE71" s="37"/>
      <c r="BF71" s="37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/>
    </row>
    <row r="72" spans="1:93" s="4" customFormat="1" ht="320.25" outlineLevel="1" x14ac:dyDescent="0.25">
      <c r="A72" s="111">
        <v>54</v>
      </c>
      <c r="B72" s="112" t="s">
        <v>177</v>
      </c>
      <c r="C72" s="113" t="s">
        <v>91</v>
      </c>
      <c r="D72" s="114" t="s">
        <v>19</v>
      </c>
      <c r="E72" s="115">
        <f t="shared" si="115"/>
        <v>15.8</v>
      </c>
      <c r="F72" s="116">
        <v>0</v>
      </c>
      <c r="G72" s="116">
        <f t="shared" si="106"/>
        <v>16.666666666666668</v>
      </c>
      <c r="H72" s="116">
        <v>20</v>
      </c>
      <c r="I72" s="116">
        <f t="shared" si="81"/>
        <v>0</v>
      </c>
      <c r="J72" s="115">
        <v>0</v>
      </c>
      <c r="K72" s="116">
        <f t="shared" si="107"/>
        <v>12.916666666666668</v>
      </c>
      <c r="L72" s="116">
        <v>15.5</v>
      </c>
      <c r="M72" s="116">
        <f t="shared" si="82"/>
        <v>0</v>
      </c>
      <c r="N72" s="117">
        <v>15.8</v>
      </c>
      <c r="O72" s="116">
        <f t="shared" si="108"/>
        <v>4.666666666666667</v>
      </c>
      <c r="P72" s="116">
        <v>5.6</v>
      </c>
      <c r="Q72" s="116">
        <f t="shared" si="83"/>
        <v>88.48</v>
      </c>
      <c r="R72" s="115">
        <v>0</v>
      </c>
      <c r="S72" s="116">
        <f t="shared" si="117"/>
        <v>15.583333333333334</v>
      </c>
      <c r="T72" s="116">
        <v>18.7</v>
      </c>
      <c r="U72" s="116">
        <f t="shared" si="84"/>
        <v>0</v>
      </c>
      <c r="V72" s="116">
        <v>0</v>
      </c>
      <c r="W72" s="116">
        <f t="shared" si="109"/>
        <v>6.416666666666667</v>
      </c>
      <c r="X72" s="116">
        <v>7.7</v>
      </c>
      <c r="Y72" s="116">
        <f t="shared" si="85"/>
        <v>0</v>
      </c>
      <c r="Z72" s="115">
        <v>0</v>
      </c>
      <c r="AA72" s="116">
        <f t="shared" si="110"/>
        <v>6</v>
      </c>
      <c r="AB72" s="116">
        <v>7.2</v>
      </c>
      <c r="AC72" s="116">
        <f t="shared" si="86"/>
        <v>0</v>
      </c>
      <c r="AD72" s="116">
        <v>0</v>
      </c>
      <c r="AE72" s="116">
        <f t="shared" si="111"/>
        <v>4.666666666666667</v>
      </c>
      <c r="AF72" s="116">
        <v>5.6</v>
      </c>
      <c r="AG72" s="116">
        <f t="shared" si="87"/>
        <v>0</v>
      </c>
      <c r="AH72" s="117">
        <v>0</v>
      </c>
      <c r="AI72" s="116">
        <f t="shared" si="112"/>
        <v>8.3333333333333339</v>
      </c>
      <c r="AJ72" s="116">
        <v>10</v>
      </c>
      <c r="AK72" s="116">
        <f t="shared" si="100"/>
        <v>0</v>
      </c>
      <c r="AL72" s="117">
        <v>0</v>
      </c>
      <c r="AM72" s="116">
        <f t="shared" si="116"/>
        <v>12.750000000000002</v>
      </c>
      <c r="AN72" s="116">
        <v>15.3</v>
      </c>
      <c r="AO72" s="116">
        <f t="shared" si="89"/>
        <v>0</v>
      </c>
      <c r="AP72" s="116">
        <f t="shared" si="113"/>
        <v>73.733333333333334</v>
      </c>
      <c r="AQ72" s="116">
        <f t="shared" si="92"/>
        <v>88.48</v>
      </c>
      <c r="AR72" s="117">
        <v>0</v>
      </c>
      <c r="AS72" s="116" t="s">
        <v>210</v>
      </c>
      <c r="AT72" s="118">
        <v>0</v>
      </c>
      <c r="AU72" s="118">
        <f t="shared" si="114"/>
        <v>6.1000000000000005</v>
      </c>
      <c r="AV72" s="144">
        <v>7.32</v>
      </c>
      <c r="AW72" s="118">
        <f t="shared" si="90"/>
        <v>0</v>
      </c>
      <c r="AX72" s="118">
        <f t="shared" si="91"/>
        <v>0</v>
      </c>
      <c r="AY72" s="119">
        <f t="shared" si="93"/>
        <v>73.733333333333334</v>
      </c>
      <c r="AZ72" s="120">
        <f t="shared" si="93"/>
        <v>88.48</v>
      </c>
      <c r="BA72" s="9"/>
      <c r="BB72" s="9"/>
      <c r="BC72" s="9"/>
      <c r="BD72" s="9"/>
      <c r="BE72" s="37"/>
      <c r="BF72" s="37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</row>
    <row r="73" spans="1:93" s="4" customFormat="1" ht="274.5" outlineLevel="1" x14ac:dyDescent="0.25">
      <c r="A73" s="111">
        <v>55</v>
      </c>
      <c r="B73" s="112" t="s">
        <v>177</v>
      </c>
      <c r="C73" s="113" t="s">
        <v>92</v>
      </c>
      <c r="D73" s="114" t="s">
        <v>19</v>
      </c>
      <c r="E73" s="115">
        <f t="shared" si="115"/>
        <v>13.5</v>
      </c>
      <c r="F73" s="116">
        <v>0</v>
      </c>
      <c r="G73" s="116">
        <f t="shared" si="106"/>
        <v>16.666666666666668</v>
      </c>
      <c r="H73" s="116">
        <v>20</v>
      </c>
      <c r="I73" s="116">
        <f t="shared" si="81"/>
        <v>0</v>
      </c>
      <c r="J73" s="115">
        <v>0</v>
      </c>
      <c r="K73" s="116">
        <f t="shared" si="107"/>
        <v>12.916666666666668</v>
      </c>
      <c r="L73" s="116">
        <v>15.5</v>
      </c>
      <c r="M73" s="116">
        <f t="shared" si="82"/>
        <v>0</v>
      </c>
      <c r="N73" s="117">
        <v>13.5</v>
      </c>
      <c r="O73" s="116">
        <f t="shared" si="108"/>
        <v>4.666666666666667</v>
      </c>
      <c r="P73" s="116">
        <v>5.6</v>
      </c>
      <c r="Q73" s="116">
        <f t="shared" si="83"/>
        <v>75.599999999999994</v>
      </c>
      <c r="R73" s="115">
        <v>0</v>
      </c>
      <c r="S73" s="116">
        <f t="shared" si="117"/>
        <v>15.583333333333334</v>
      </c>
      <c r="T73" s="116">
        <v>18.7</v>
      </c>
      <c r="U73" s="116">
        <f t="shared" si="84"/>
        <v>0</v>
      </c>
      <c r="V73" s="116">
        <v>0</v>
      </c>
      <c r="W73" s="116">
        <f t="shared" si="109"/>
        <v>6.416666666666667</v>
      </c>
      <c r="X73" s="116">
        <v>7.7</v>
      </c>
      <c r="Y73" s="116">
        <f t="shared" si="85"/>
        <v>0</v>
      </c>
      <c r="Z73" s="115">
        <v>0</v>
      </c>
      <c r="AA73" s="116">
        <f t="shared" si="110"/>
        <v>6</v>
      </c>
      <c r="AB73" s="116">
        <v>7.2</v>
      </c>
      <c r="AC73" s="116">
        <f t="shared" si="86"/>
        <v>0</v>
      </c>
      <c r="AD73" s="116">
        <v>0</v>
      </c>
      <c r="AE73" s="116">
        <f t="shared" si="111"/>
        <v>4.666666666666667</v>
      </c>
      <c r="AF73" s="116">
        <v>5.6</v>
      </c>
      <c r="AG73" s="116">
        <f t="shared" si="87"/>
        <v>0</v>
      </c>
      <c r="AH73" s="117">
        <v>0</v>
      </c>
      <c r="AI73" s="116">
        <f t="shared" si="112"/>
        <v>8.3333333333333339</v>
      </c>
      <c r="AJ73" s="116">
        <v>10</v>
      </c>
      <c r="AK73" s="116">
        <f t="shared" si="100"/>
        <v>0</v>
      </c>
      <c r="AL73" s="117">
        <v>0</v>
      </c>
      <c r="AM73" s="116">
        <f t="shared" si="116"/>
        <v>12.750000000000002</v>
      </c>
      <c r="AN73" s="116">
        <v>15.3</v>
      </c>
      <c r="AO73" s="116">
        <f t="shared" si="89"/>
        <v>0</v>
      </c>
      <c r="AP73" s="116">
        <f t="shared" si="113"/>
        <v>63</v>
      </c>
      <c r="AQ73" s="116">
        <f t="shared" si="92"/>
        <v>75.599999999999994</v>
      </c>
      <c r="AR73" s="117">
        <v>0</v>
      </c>
      <c r="AS73" s="116" t="s">
        <v>210</v>
      </c>
      <c r="AT73" s="118">
        <v>0</v>
      </c>
      <c r="AU73" s="118">
        <f t="shared" si="114"/>
        <v>6.1000000000000005</v>
      </c>
      <c r="AV73" s="144">
        <v>7.32</v>
      </c>
      <c r="AW73" s="118">
        <f t="shared" si="90"/>
        <v>0</v>
      </c>
      <c r="AX73" s="118">
        <f t="shared" si="91"/>
        <v>0</v>
      </c>
      <c r="AY73" s="119">
        <f t="shared" si="93"/>
        <v>63</v>
      </c>
      <c r="AZ73" s="120">
        <f t="shared" si="93"/>
        <v>75.599999999999994</v>
      </c>
      <c r="BA73" s="9"/>
      <c r="BB73" s="9"/>
      <c r="BC73" s="9"/>
      <c r="BD73" s="9"/>
      <c r="BE73" s="37"/>
      <c r="BF73" s="37"/>
      <c r="BG73" s="35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5"/>
      <c r="CO73" s="35"/>
    </row>
    <row r="74" spans="1:93" s="4" customFormat="1" ht="274.5" outlineLevel="1" x14ac:dyDescent="0.25">
      <c r="A74" s="111">
        <v>56</v>
      </c>
      <c r="B74" s="112" t="s">
        <v>177</v>
      </c>
      <c r="C74" s="113" t="s">
        <v>93</v>
      </c>
      <c r="D74" s="114" t="s">
        <v>19</v>
      </c>
      <c r="E74" s="115">
        <f t="shared" si="115"/>
        <v>39.799999999999997</v>
      </c>
      <c r="F74" s="116">
        <v>0</v>
      </c>
      <c r="G74" s="116">
        <f t="shared" si="106"/>
        <v>16.666666666666668</v>
      </c>
      <c r="H74" s="116">
        <v>20</v>
      </c>
      <c r="I74" s="116">
        <f t="shared" si="81"/>
        <v>0</v>
      </c>
      <c r="J74" s="115">
        <v>0</v>
      </c>
      <c r="K74" s="116">
        <f t="shared" si="107"/>
        <v>12.916666666666668</v>
      </c>
      <c r="L74" s="116">
        <v>15.5</v>
      </c>
      <c r="M74" s="116">
        <f t="shared" si="82"/>
        <v>0</v>
      </c>
      <c r="N74" s="117">
        <v>39.799999999999997</v>
      </c>
      <c r="O74" s="116">
        <f t="shared" si="108"/>
        <v>4.666666666666667</v>
      </c>
      <c r="P74" s="116">
        <v>5.6</v>
      </c>
      <c r="Q74" s="116">
        <f t="shared" si="83"/>
        <v>222.87999999999997</v>
      </c>
      <c r="R74" s="115">
        <v>0</v>
      </c>
      <c r="S74" s="116">
        <f t="shared" si="117"/>
        <v>15.583333333333334</v>
      </c>
      <c r="T74" s="116">
        <v>18.7</v>
      </c>
      <c r="U74" s="116">
        <f t="shared" si="84"/>
        <v>0</v>
      </c>
      <c r="V74" s="116">
        <v>0</v>
      </c>
      <c r="W74" s="116">
        <f t="shared" si="109"/>
        <v>6.416666666666667</v>
      </c>
      <c r="X74" s="116">
        <v>7.7</v>
      </c>
      <c r="Y74" s="116">
        <f t="shared" si="85"/>
        <v>0</v>
      </c>
      <c r="Z74" s="115">
        <v>0</v>
      </c>
      <c r="AA74" s="116">
        <f t="shared" si="110"/>
        <v>6</v>
      </c>
      <c r="AB74" s="116">
        <v>7.2</v>
      </c>
      <c r="AC74" s="116">
        <f t="shared" si="86"/>
        <v>0</v>
      </c>
      <c r="AD74" s="116">
        <v>0</v>
      </c>
      <c r="AE74" s="116">
        <f t="shared" si="111"/>
        <v>4.666666666666667</v>
      </c>
      <c r="AF74" s="116">
        <v>5.6</v>
      </c>
      <c r="AG74" s="116">
        <f t="shared" si="87"/>
        <v>0</v>
      </c>
      <c r="AH74" s="117">
        <v>0</v>
      </c>
      <c r="AI74" s="116">
        <f t="shared" si="112"/>
        <v>8.3333333333333339</v>
      </c>
      <c r="AJ74" s="116">
        <v>10</v>
      </c>
      <c r="AK74" s="116">
        <f t="shared" si="100"/>
        <v>0</v>
      </c>
      <c r="AL74" s="117">
        <v>0</v>
      </c>
      <c r="AM74" s="116">
        <f t="shared" si="116"/>
        <v>12.750000000000002</v>
      </c>
      <c r="AN74" s="116">
        <v>15.3</v>
      </c>
      <c r="AO74" s="116">
        <f t="shared" si="89"/>
        <v>0</v>
      </c>
      <c r="AP74" s="116">
        <f t="shared" si="113"/>
        <v>185.73333333333332</v>
      </c>
      <c r="AQ74" s="116">
        <f t="shared" si="92"/>
        <v>222.87999999999997</v>
      </c>
      <c r="AR74" s="117">
        <f>5.2+539.7</f>
        <v>544.90000000000009</v>
      </c>
      <c r="AS74" s="116" t="s">
        <v>210</v>
      </c>
      <c r="AT74" s="118">
        <v>0</v>
      </c>
      <c r="AU74" s="118">
        <f t="shared" si="114"/>
        <v>6.1000000000000005</v>
      </c>
      <c r="AV74" s="144">
        <v>7.32</v>
      </c>
      <c r="AW74" s="118">
        <f t="shared" si="90"/>
        <v>3323.8900000000008</v>
      </c>
      <c r="AX74" s="118">
        <f t="shared" si="91"/>
        <v>3988.668000000001</v>
      </c>
      <c r="AY74" s="119">
        <f t="shared" si="93"/>
        <v>3509.6233333333339</v>
      </c>
      <c r="AZ74" s="120">
        <f t="shared" si="93"/>
        <v>4211.5480000000007</v>
      </c>
      <c r="BA74" s="9"/>
      <c r="BB74" s="9"/>
      <c r="BC74" s="9"/>
      <c r="BD74" s="9"/>
      <c r="BE74" s="37"/>
      <c r="BF74" s="37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5"/>
      <c r="CO74" s="35"/>
    </row>
    <row r="75" spans="1:93" s="5" customFormat="1" ht="45.75" outlineLevel="1" x14ac:dyDescent="0.25">
      <c r="A75" s="162" t="s">
        <v>59</v>
      </c>
      <c r="B75" s="163"/>
      <c r="C75" s="163"/>
      <c r="D75" s="131"/>
      <c r="E75" s="115"/>
      <c r="F75" s="131"/>
      <c r="G75" s="116"/>
      <c r="H75" s="131"/>
      <c r="I75" s="131"/>
      <c r="J75" s="131"/>
      <c r="K75" s="116"/>
      <c r="L75" s="116"/>
      <c r="M75" s="131"/>
      <c r="N75" s="131"/>
      <c r="O75" s="116"/>
      <c r="P75" s="116"/>
      <c r="Q75" s="131"/>
      <c r="R75" s="131"/>
      <c r="S75" s="116"/>
      <c r="T75" s="116"/>
      <c r="U75" s="131"/>
      <c r="V75" s="131"/>
      <c r="W75" s="116"/>
      <c r="X75" s="116"/>
      <c r="Y75" s="131"/>
      <c r="Z75" s="131"/>
      <c r="AA75" s="116"/>
      <c r="AB75" s="116"/>
      <c r="AC75" s="131"/>
      <c r="AD75" s="131"/>
      <c r="AE75" s="116"/>
      <c r="AF75" s="116"/>
      <c r="AG75" s="131"/>
      <c r="AH75" s="131"/>
      <c r="AI75" s="116"/>
      <c r="AJ75" s="116"/>
      <c r="AK75" s="131"/>
      <c r="AL75" s="131"/>
      <c r="AM75" s="116"/>
      <c r="AN75" s="116"/>
      <c r="AO75" s="131"/>
      <c r="AP75" s="116"/>
      <c r="AQ75" s="129"/>
      <c r="AR75" s="131"/>
      <c r="AS75" s="116"/>
      <c r="AT75" s="126"/>
      <c r="AU75" s="118"/>
      <c r="AV75" s="144"/>
      <c r="AW75" s="126"/>
      <c r="AX75" s="126"/>
      <c r="AY75" s="127"/>
      <c r="AZ75" s="130"/>
      <c r="BA75" s="9"/>
      <c r="BB75" s="9"/>
      <c r="BC75" s="9"/>
      <c r="BD75" s="9"/>
      <c r="BE75" s="9"/>
      <c r="BF75" s="9"/>
      <c r="CJ75" s="35"/>
      <c r="CK75" s="35"/>
      <c r="CL75" s="35"/>
      <c r="CM75" s="35"/>
      <c r="CN75" s="35"/>
      <c r="CO75" s="35"/>
    </row>
    <row r="76" spans="1:93" s="4" customFormat="1" ht="409.5" outlineLevel="1" x14ac:dyDescent="0.25">
      <c r="A76" s="111">
        <f>A74+1</f>
        <v>57</v>
      </c>
      <c r="B76" s="132" t="s">
        <v>179</v>
      </c>
      <c r="C76" s="113" t="s">
        <v>94</v>
      </c>
      <c r="D76" s="114" t="s">
        <v>19</v>
      </c>
      <c r="E76" s="115">
        <f t="shared" si="115"/>
        <v>223.4</v>
      </c>
      <c r="F76" s="116">
        <v>0</v>
      </c>
      <c r="G76" s="116">
        <f t="shared" si="106"/>
        <v>16.666666666666668</v>
      </c>
      <c r="H76" s="116">
        <v>20</v>
      </c>
      <c r="I76" s="116">
        <f t="shared" si="81"/>
        <v>0</v>
      </c>
      <c r="J76" s="115">
        <f>89.6</f>
        <v>89.6</v>
      </c>
      <c r="K76" s="116">
        <f t="shared" si="107"/>
        <v>12.916666666666668</v>
      </c>
      <c r="L76" s="116">
        <v>15.5</v>
      </c>
      <c r="M76" s="116">
        <f t="shared" si="82"/>
        <v>1388.8</v>
      </c>
      <c r="N76" s="117">
        <v>32.4</v>
      </c>
      <c r="O76" s="116">
        <f t="shared" si="108"/>
        <v>4.666666666666667</v>
      </c>
      <c r="P76" s="116">
        <v>5.6</v>
      </c>
      <c r="Q76" s="116">
        <f t="shared" si="83"/>
        <v>181.43999999999997</v>
      </c>
      <c r="R76" s="115">
        <v>0</v>
      </c>
      <c r="S76" s="116">
        <f t="shared" si="117"/>
        <v>15.583333333333334</v>
      </c>
      <c r="T76" s="116">
        <v>18.7</v>
      </c>
      <c r="U76" s="116">
        <f t="shared" si="84"/>
        <v>0</v>
      </c>
      <c r="V76" s="116">
        <v>13.8</v>
      </c>
      <c r="W76" s="116">
        <f t="shared" si="109"/>
        <v>6.416666666666667</v>
      </c>
      <c r="X76" s="116">
        <v>7.7</v>
      </c>
      <c r="Y76" s="116">
        <f t="shared" si="85"/>
        <v>106.26</v>
      </c>
      <c r="Z76" s="115">
        <f>61.9+16.1+4.6</f>
        <v>82.6</v>
      </c>
      <c r="AA76" s="116">
        <f t="shared" si="110"/>
        <v>6</v>
      </c>
      <c r="AB76" s="116">
        <v>7.2</v>
      </c>
      <c r="AC76" s="116">
        <f t="shared" si="86"/>
        <v>594.72</v>
      </c>
      <c r="AD76" s="116">
        <v>0</v>
      </c>
      <c r="AE76" s="116">
        <f t="shared" si="111"/>
        <v>4.666666666666667</v>
      </c>
      <c r="AF76" s="116">
        <v>5.6</v>
      </c>
      <c r="AG76" s="116">
        <f t="shared" si="87"/>
        <v>0</v>
      </c>
      <c r="AH76" s="117">
        <v>0</v>
      </c>
      <c r="AI76" s="116">
        <f t="shared" si="112"/>
        <v>8.3333333333333339</v>
      </c>
      <c r="AJ76" s="116">
        <v>10</v>
      </c>
      <c r="AK76" s="116">
        <f t="shared" si="88"/>
        <v>0</v>
      </c>
      <c r="AL76" s="117">
        <v>5</v>
      </c>
      <c r="AM76" s="116">
        <f t="shared" si="116"/>
        <v>12.750000000000002</v>
      </c>
      <c r="AN76" s="116">
        <v>15.3</v>
      </c>
      <c r="AO76" s="116">
        <f t="shared" si="89"/>
        <v>76.5</v>
      </c>
      <c r="AP76" s="116">
        <f t="shared" si="113"/>
        <v>1956.4333333333336</v>
      </c>
      <c r="AQ76" s="116">
        <f t="shared" si="92"/>
        <v>2347.7200000000003</v>
      </c>
      <c r="AR76" s="117">
        <v>30</v>
      </c>
      <c r="AS76" s="116" t="s">
        <v>210</v>
      </c>
      <c r="AT76" s="118">
        <v>0</v>
      </c>
      <c r="AU76" s="118">
        <f t="shared" si="114"/>
        <v>6.1000000000000005</v>
      </c>
      <c r="AV76" s="144">
        <v>7.32</v>
      </c>
      <c r="AW76" s="118">
        <f t="shared" si="90"/>
        <v>183.00000000000003</v>
      </c>
      <c r="AX76" s="118">
        <f t="shared" si="91"/>
        <v>219.60000000000002</v>
      </c>
      <c r="AY76" s="119">
        <f t="shared" si="93"/>
        <v>2139.4333333333338</v>
      </c>
      <c r="AZ76" s="120">
        <f t="shared" si="93"/>
        <v>2567.3200000000002</v>
      </c>
      <c r="BA76" s="9"/>
      <c r="BB76" s="9"/>
      <c r="BC76" s="9"/>
      <c r="BD76" s="9"/>
      <c r="BE76" s="37"/>
      <c r="BF76" s="37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</row>
    <row r="77" spans="1:93" s="4" customFormat="1" ht="320.25" outlineLevel="1" x14ac:dyDescent="0.25">
      <c r="A77" s="111">
        <v>58</v>
      </c>
      <c r="B77" s="112" t="s">
        <v>179</v>
      </c>
      <c r="C77" s="113" t="s">
        <v>95</v>
      </c>
      <c r="D77" s="114" t="s">
        <v>19</v>
      </c>
      <c r="E77" s="115">
        <f t="shared" si="115"/>
        <v>123.49999999999999</v>
      </c>
      <c r="F77" s="116">
        <v>0</v>
      </c>
      <c r="G77" s="116">
        <f t="shared" si="106"/>
        <v>16.666666666666668</v>
      </c>
      <c r="H77" s="116">
        <v>20</v>
      </c>
      <c r="I77" s="116">
        <f t="shared" si="81"/>
        <v>0</v>
      </c>
      <c r="J77" s="115">
        <v>0</v>
      </c>
      <c r="K77" s="116">
        <f t="shared" si="107"/>
        <v>12.916666666666668</v>
      </c>
      <c r="L77" s="116">
        <v>15.5</v>
      </c>
      <c r="M77" s="116">
        <f t="shared" si="82"/>
        <v>0</v>
      </c>
      <c r="N77" s="117">
        <v>74.599999999999994</v>
      </c>
      <c r="O77" s="116">
        <f t="shared" si="108"/>
        <v>4.666666666666667</v>
      </c>
      <c r="P77" s="116">
        <v>5.6</v>
      </c>
      <c r="Q77" s="116">
        <f t="shared" si="83"/>
        <v>417.75999999999993</v>
      </c>
      <c r="R77" s="115">
        <v>0</v>
      </c>
      <c r="S77" s="116">
        <f t="shared" si="117"/>
        <v>15.583333333333334</v>
      </c>
      <c r="T77" s="116">
        <v>18.7</v>
      </c>
      <c r="U77" s="116">
        <f t="shared" si="84"/>
        <v>0</v>
      </c>
      <c r="V77" s="116">
        <v>23.7</v>
      </c>
      <c r="W77" s="116">
        <f t="shared" si="109"/>
        <v>6.416666666666667</v>
      </c>
      <c r="X77" s="116">
        <v>7.7</v>
      </c>
      <c r="Y77" s="116">
        <f t="shared" si="85"/>
        <v>182.49</v>
      </c>
      <c r="Z77" s="115">
        <v>23.4</v>
      </c>
      <c r="AA77" s="116">
        <f t="shared" si="110"/>
        <v>6</v>
      </c>
      <c r="AB77" s="116">
        <v>7.2</v>
      </c>
      <c r="AC77" s="116">
        <f t="shared" si="86"/>
        <v>168.48</v>
      </c>
      <c r="AD77" s="116">
        <v>0</v>
      </c>
      <c r="AE77" s="116">
        <f t="shared" si="111"/>
        <v>4.666666666666667</v>
      </c>
      <c r="AF77" s="116">
        <v>5.6</v>
      </c>
      <c r="AG77" s="116">
        <f t="shared" si="87"/>
        <v>0</v>
      </c>
      <c r="AH77" s="117">
        <v>0</v>
      </c>
      <c r="AI77" s="116">
        <f t="shared" si="112"/>
        <v>8.3333333333333339</v>
      </c>
      <c r="AJ77" s="116">
        <v>10</v>
      </c>
      <c r="AK77" s="116">
        <f t="shared" si="88"/>
        <v>0</v>
      </c>
      <c r="AL77" s="117">
        <v>1.8</v>
      </c>
      <c r="AM77" s="116">
        <f t="shared" si="116"/>
        <v>12.750000000000002</v>
      </c>
      <c r="AN77" s="116">
        <v>15.3</v>
      </c>
      <c r="AO77" s="116">
        <f t="shared" si="89"/>
        <v>27.540000000000003</v>
      </c>
      <c r="AP77" s="116">
        <f t="shared" si="113"/>
        <v>663.55833333333339</v>
      </c>
      <c r="AQ77" s="116">
        <f t="shared" si="92"/>
        <v>796.27</v>
      </c>
      <c r="AR77" s="117">
        <v>0</v>
      </c>
      <c r="AS77" s="116" t="s">
        <v>210</v>
      </c>
      <c r="AT77" s="118">
        <v>0</v>
      </c>
      <c r="AU77" s="118">
        <f t="shared" si="114"/>
        <v>6.1000000000000005</v>
      </c>
      <c r="AV77" s="144">
        <v>7.32</v>
      </c>
      <c r="AW77" s="118">
        <f t="shared" si="90"/>
        <v>0</v>
      </c>
      <c r="AX77" s="118">
        <f t="shared" si="91"/>
        <v>0</v>
      </c>
      <c r="AY77" s="119">
        <f t="shared" si="93"/>
        <v>663.55833333333339</v>
      </c>
      <c r="AZ77" s="120">
        <f t="shared" si="93"/>
        <v>796.27</v>
      </c>
      <c r="BA77" s="9"/>
      <c r="BB77" s="9"/>
      <c r="BC77" s="9"/>
      <c r="BD77" s="9"/>
      <c r="BE77" s="37"/>
      <c r="BF77" s="37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5"/>
      <c r="CO77" s="35"/>
    </row>
    <row r="78" spans="1:93" s="4" customFormat="1" ht="320.25" outlineLevel="1" x14ac:dyDescent="0.25">
      <c r="A78" s="111">
        <f t="shared" ref="A78" si="118">A77+1</f>
        <v>59</v>
      </c>
      <c r="B78" s="112" t="s">
        <v>177</v>
      </c>
      <c r="C78" s="113" t="s">
        <v>151</v>
      </c>
      <c r="D78" s="114" t="s">
        <v>19</v>
      </c>
      <c r="E78" s="115">
        <f t="shared" si="115"/>
        <v>682.1</v>
      </c>
      <c r="F78" s="116">
        <v>0</v>
      </c>
      <c r="G78" s="116">
        <f t="shared" si="106"/>
        <v>16.666666666666668</v>
      </c>
      <c r="H78" s="116">
        <v>20</v>
      </c>
      <c r="I78" s="116">
        <f t="shared" si="81"/>
        <v>0</v>
      </c>
      <c r="J78" s="115">
        <v>238</v>
      </c>
      <c r="K78" s="116">
        <f t="shared" si="107"/>
        <v>12.916666666666668</v>
      </c>
      <c r="L78" s="116">
        <v>15.5</v>
      </c>
      <c r="M78" s="116">
        <f t="shared" si="82"/>
        <v>3689</v>
      </c>
      <c r="N78" s="117">
        <v>89.2</v>
      </c>
      <c r="O78" s="116">
        <f t="shared" si="108"/>
        <v>4.666666666666667</v>
      </c>
      <c r="P78" s="116">
        <v>5.6</v>
      </c>
      <c r="Q78" s="116">
        <f t="shared" si="83"/>
        <v>499.52</v>
      </c>
      <c r="R78" s="115">
        <v>0</v>
      </c>
      <c r="S78" s="116">
        <f t="shared" si="117"/>
        <v>15.583333333333334</v>
      </c>
      <c r="T78" s="116">
        <v>18.7</v>
      </c>
      <c r="U78" s="116">
        <f t="shared" si="84"/>
        <v>0</v>
      </c>
      <c r="V78" s="116">
        <v>63.1</v>
      </c>
      <c r="W78" s="116">
        <f t="shared" si="109"/>
        <v>6.416666666666667</v>
      </c>
      <c r="X78" s="116">
        <v>7.7</v>
      </c>
      <c r="Y78" s="116">
        <f t="shared" si="85"/>
        <v>485.87</v>
      </c>
      <c r="Z78" s="115">
        <f>26.4+40.8+90+9.8</f>
        <v>167</v>
      </c>
      <c r="AA78" s="116">
        <f t="shared" si="110"/>
        <v>6</v>
      </c>
      <c r="AB78" s="116">
        <v>7.2</v>
      </c>
      <c r="AC78" s="116">
        <f t="shared" si="86"/>
        <v>1202.4000000000001</v>
      </c>
      <c r="AD78" s="116">
        <v>0</v>
      </c>
      <c r="AE78" s="116">
        <f t="shared" si="111"/>
        <v>4.666666666666667</v>
      </c>
      <c r="AF78" s="116">
        <v>5.6</v>
      </c>
      <c r="AG78" s="116">
        <f t="shared" si="87"/>
        <v>0</v>
      </c>
      <c r="AH78" s="117">
        <v>111.6</v>
      </c>
      <c r="AI78" s="116">
        <f t="shared" si="112"/>
        <v>8.3333333333333339</v>
      </c>
      <c r="AJ78" s="116">
        <v>10</v>
      </c>
      <c r="AK78" s="116">
        <f t="shared" si="88"/>
        <v>1116</v>
      </c>
      <c r="AL78" s="117">
        <v>13.2</v>
      </c>
      <c r="AM78" s="116">
        <f t="shared" si="116"/>
        <v>12.750000000000002</v>
      </c>
      <c r="AN78" s="116">
        <v>15.3</v>
      </c>
      <c r="AO78" s="116">
        <f t="shared" si="89"/>
        <v>201.96</v>
      </c>
      <c r="AP78" s="116">
        <f t="shared" si="113"/>
        <v>5995.6250000000009</v>
      </c>
      <c r="AQ78" s="116">
        <f t="shared" si="92"/>
        <v>7194.7500000000009</v>
      </c>
      <c r="AR78" s="117">
        <v>600</v>
      </c>
      <c r="AS78" s="116" t="s">
        <v>210</v>
      </c>
      <c r="AT78" s="118">
        <v>0</v>
      </c>
      <c r="AU78" s="118">
        <f t="shared" si="114"/>
        <v>6.1000000000000005</v>
      </c>
      <c r="AV78" s="144">
        <v>7.32</v>
      </c>
      <c r="AW78" s="118">
        <f t="shared" si="90"/>
        <v>3660.0000000000005</v>
      </c>
      <c r="AX78" s="118">
        <f t="shared" si="91"/>
        <v>4392</v>
      </c>
      <c r="AY78" s="119">
        <f t="shared" si="93"/>
        <v>9655.6250000000018</v>
      </c>
      <c r="AZ78" s="120">
        <f t="shared" si="93"/>
        <v>11586.75</v>
      </c>
      <c r="BA78" s="9"/>
      <c r="BB78" s="9"/>
      <c r="BC78" s="9"/>
      <c r="BD78" s="9"/>
      <c r="BE78" s="37"/>
      <c r="BF78" s="37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  <c r="CN78" s="35"/>
      <c r="CO78" s="35"/>
    </row>
    <row r="79" spans="1:93" s="4" customFormat="1" ht="366" outlineLevel="1" x14ac:dyDescent="0.25">
      <c r="A79" s="111">
        <v>59</v>
      </c>
      <c r="B79" s="112" t="s">
        <v>177</v>
      </c>
      <c r="C79" s="113" t="s">
        <v>152</v>
      </c>
      <c r="D79" s="114" t="s">
        <v>19</v>
      </c>
      <c r="E79" s="115">
        <f t="shared" si="115"/>
        <v>552.9</v>
      </c>
      <c r="F79" s="116">
        <v>0</v>
      </c>
      <c r="G79" s="116">
        <f t="shared" si="106"/>
        <v>16.666666666666668</v>
      </c>
      <c r="H79" s="116">
        <v>20</v>
      </c>
      <c r="I79" s="116">
        <f t="shared" si="81"/>
        <v>0</v>
      </c>
      <c r="J79" s="115">
        <v>140.80000000000001</v>
      </c>
      <c r="K79" s="116">
        <f t="shared" si="107"/>
        <v>12.916666666666668</v>
      </c>
      <c r="L79" s="116">
        <v>15.5</v>
      </c>
      <c r="M79" s="116">
        <f t="shared" si="82"/>
        <v>2182.4</v>
      </c>
      <c r="N79" s="117">
        <v>90.5</v>
      </c>
      <c r="O79" s="116">
        <f t="shared" si="108"/>
        <v>4.666666666666667</v>
      </c>
      <c r="P79" s="116">
        <v>5.6</v>
      </c>
      <c r="Q79" s="116">
        <f t="shared" si="83"/>
        <v>506.79999999999995</v>
      </c>
      <c r="R79" s="115">
        <v>0</v>
      </c>
      <c r="S79" s="116">
        <f t="shared" si="117"/>
        <v>15.583333333333334</v>
      </c>
      <c r="T79" s="116">
        <v>18.7</v>
      </c>
      <c r="U79" s="116">
        <f t="shared" si="84"/>
        <v>0</v>
      </c>
      <c r="V79" s="116">
        <v>36.700000000000003</v>
      </c>
      <c r="W79" s="116">
        <f t="shared" si="109"/>
        <v>6.416666666666667</v>
      </c>
      <c r="X79" s="116">
        <v>7.7</v>
      </c>
      <c r="Y79" s="116">
        <f t="shared" si="85"/>
        <v>282.59000000000003</v>
      </c>
      <c r="Z79" s="115">
        <v>72.8</v>
      </c>
      <c r="AA79" s="116">
        <f t="shared" si="110"/>
        <v>6</v>
      </c>
      <c r="AB79" s="116">
        <v>7.2</v>
      </c>
      <c r="AC79" s="116">
        <f t="shared" si="86"/>
        <v>524.16</v>
      </c>
      <c r="AD79" s="116">
        <v>0</v>
      </c>
      <c r="AE79" s="116">
        <f t="shared" si="111"/>
        <v>4.666666666666667</v>
      </c>
      <c r="AF79" s="116">
        <v>5.6</v>
      </c>
      <c r="AG79" s="116">
        <f t="shared" si="87"/>
        <v>0</v>
      </c>
      <c r="AH79" s="117">
        <v>209.1</v>
      </c>
      <c r="AI79" s="116">
        <f t="shared" si="112"/>
        <v>8.3333333333333339</v>
      </c>
      <c r="AJ79" s="116">
        <v>10</v>
      </c>
      <c r="AK79" s="116">
        <f t="shared" si="88"/>
        <v>2091</v>
      </c>
      <c r="AL79" s="117">
        <v>3</v>
      </c>
      <c r="AM79" s="116">
        <f t="shared" si="116"/>
        <v>12.750000000000002</v>
      </c>
      <c r="AN79" s="116">
        <v>15.3</v>
      </c>
      <c r="AO79" s="116">
        <f t="shared" si="89"/>
        <v>45.900000000000006</v>
      </c>
      <c r="AP79" s="116">
        <f t="shared" si="113"/>
        <v>4694.0416666666661</v>
      </c>
      <c r="AQ79" s="116">
        <f t="shared" si="92"/>
        <v>5632.8499999999995</v>
      </c>
      <c r="AR79" s="117">
        <v>688.8</v>
      </c>
      <c r="AS79" s="116" t="s">
        <v>210</v>
      </c>
      <c r="AT79" s="118">
        <v>0</v>
      </c>
      <c r="AU79" s="118">
        <f t="shared" si="114"/>
        <v>6.1000000000000005</v>
      </c>
      <c r="AV79" s="144">
        <v>7.32</v>
      </c>
      <c r="AW79" s="118">
        <f t="shared" si="90"/>
        <v>4201.68</v>
      </c>
      <c r="AX79" s="118">
        <f t="shared" si="91"/>
        <v>5042.0159999999996</v>
      </c>
      <c r="AY79" s="119">
        <f t="shared" si="93"/>
        <v>8895.7216666666664</v>
      </c>
      <c r="AZ79" s="120">
        <f t="shared" si="93"/>
        <v>10674.865999999998</v>
      </c>
      <c r="BA79" s="9"/>
      <c r="BB79" s="9"/>
      <c r="BC79" s="9"/>
      <c r="BD79" s="9"/>
      <c r="BE79" s="37"/>
      <c r="BF79" s="37"/>
      <c r="BG79" s="35"/>
      <c r="BH79" s="35"/>
      <c r="BI79" s="35"/>
      <c r="BJ79" s="35"/>
      <c r="BK79" s="35"/>
      <c r="BL79" s="35"/>
      <c r="BM79" s="35"/>
      <c r="BN79" s="35"/>
      <c r="BO79" s="35"/>
      <c r="BP79" s="35"/>
      <c r="BQ79" s="35"/>
      <c r="BR79" s="35"/>
      <c r="BS79" s="35"/>
      <c r="BT79" s="35"/>
      <c r="BU79" s="35"/>
      <c r="BV79" s="35"/>
      <c r="BW79" s="35"/>
      <c r="BX79" s="35"/>
      <c r="BY79" s="35"/>
      <c r="BZ79" s="35"/>
      <c r="CA79" s="35"/>
      <c r="CB79" s="35"/>
      <c r="CC79" s="35"/>
      <c r="CD79" s="35"/>
      <c r="CE79" s="35"/>
      <c r="CF79" s="35"/>
      <c r="CG79" s="35"/>
      <c r="CH79" s="35"/>
      <c r="CI79" s="35"/>
      <c r="CJ79" s="35"/>
      <c r="CK79" s="35"/>
      <c r="CL79" s="35"/>
      <c r="CM79" s="35"/>
      <c r="CN79" s="35"/>
      <c r="CO79" s="35"/>
    </row>
    <row r="80" spans="1:93" s="26" customFormat="1" ht="45.75" outlineLevel="1" x14ac:dyDescent="0.3">
      <c r="A80" s="162" t="s">
        <v>60</v>
      </c>
      <c r="B80" s="163"/>
      <c r="C80" s="163"/>
      <c r="D80" s="131"/>
      <c r="E80" s="115"/>
      <c r="F80" s="131"/>
      <c r="G80" s="116"/>
      <c r="H80" s="131"/>
      <c r="I80" s="131"/>
      <c r="J80" s="131"/>
      <c r="K80" s="116"/>
      <c r="L80" s="116"/>
      <c r="M80" s="131"/>
      <c r="N80" s="131"/>
      <c r="O80" s="116"/>
      <c r="P80" s="116"/>
      <c r="Q80" s="131"/>
      <c r="R80" s="131"/>
      <c r="S80" s="116"/>
      <c r="T80" s="116"/>
      <c r="U80" s="131"/>
      <c r="V80" s="131"/>
      <c r="W80" s="116"/>
      <c r="X80" s="116"/>
      <c r="Y80" s="131"/>
      <c r="Z80" s="131"/>
      <c r="AA80" s="116"/>
      <c r="AB80" s="116"/>
      <c r="AC80" s="131"/>
      <c r="AD80" s="131"/>
      <c r="AE80" s="116"/>
      <c r="AF80" s="116"/>
      <c r="AG80" s="131"/>
      <c r="AH80" s="131"/>
      <c r="AI80" s="116"/>
      <c r="AJ80" s="116"/>
      <c r="AK80" s="131"/>
      <c r="AL80" s="131"/>
      <c r="AM80" s="116"/>
      <c r="AN80" s="116"/>
      <c r="AO80" s="131"/>
      <c r="AP80" s="116"/>
      <c r="AQ80" s="125"/>
      <c r="AR80" s="131"/>
      <c r="AS80" s="116"/>
      <c r="AT80" s="126"/>
      <c r="AU80" s="118"/>
      <c r="AV80" s="144"/>
      <c r="AW80" s="126"/>
      <c r="AX80" s="126"/>
      <c r="AY80" s="127"/>
      <c r="AZ80" s="130"/>
      <c r="BA80" s="25"/>
      <c r="BB80" s="25"/>
      <c r="BC80" s="25"/>
      <c r="BD80" s="25"/>
      <c r="BE80" s="25"/>
      <c r="BF80" s="25"/>
      <c r="CJ80" s="36"/>
      <c r="CK80" s="36"/>
      <c r="CL80" s="36"/>
      <c r="CM80" s="36"/>
      <c r="CN80" s="36"/>
      <c r="CO80" s="36"/>
    </row>
    <row r="81" spans="1:93" s="5" customFormat="1" ht="45.75" outlineLevel="1" x14ac:dyDescent="0.25">
      <c r="A81" s="162" t="s">
        <v>62</v>
      </c>
      <c r="B81" s="163"/>
      <c r="C81" s="163"/>
      <c r="D81" s="131"/>
      <c r="E81" s="115"/>
      <c r="F81" s="131"/>
      <c r="G81" s="116"/>
      <c r="H81" s="131"/>
      <c r="I81" s="131"/>
      <c r="J81" s="131"/>
      <c r="K81" s="116"/>
      <c r="L81" s="116"/>
      <c r="M81" s="131"/>
      <c r="N81" s="131"/>
      <c r="O81" s="116"/>
      <c r="P81" s="116"/>
      <c r="Q81" s="131"/>
      <c r="R81" s="131"/>
      <c r="S81" s="116"/>
      <c r="T81" s="116"/>
      <c r="U81" s="131"/>
      <c r="V81" s="131"/>
      <c r="W81" s="116"/>
      <c r="X81" s="116"/>
      <c r="Y81" s="131"/>
      <c r="Z81" s="131"/>
      <c r="AA81" s="116"/>
      <c r="AB81" s="116"/>
      <c r="AC81" s="131"/>
      <c r="AD81" s="131"/>
      <c r="AE81" s="116"/>
      <c r="AF81" s="116"/>
      <c r="AG81" s="131"/>
      <c r="AH81" s="131"/>
      <c r="AI81" s="116"/>
      <c r="AJ81" s="116"/>
      <c r="AK81" s="131"/>
      <c r="AL81" s="131"/>
      <c r="AM81" s="116"/>
      <c r="AN81" s="116"/>
      <c r="AO81" s="131"/>
      <c r="AP81" s="116"/>
      <c r="AQ81" s="129"/>
      <c r="AR81" s="131"/>
      <c r="AS81" s="116"/>
      <c r="AT81" s="126"/>
      <c r="AU81" s="118"/>
      <c r="AV81" s="144"/>
      <c r="AW81" s="126"/>
      <c r="AX81" s="126"/>
      <c r="AY81" s="127"/>
      <c r="AZ81" s="130"/>
      <c r="BA81" s="9"/>
      <c r="BB81" s="9"/>
      <c r="BC81" s="9"/>
      <c r="BD81" s="9"/>
      <c r="BE81" s="9"/>
      <c r="BF81" s="9"/>
      <c r="CJ81" s="35"/>
      <c r="CK81" s="35"/>
      <c r="CL81" s="35"/>
      <c r="CM81" s="35"/>
      <c r="CN81" s="35"/>
      <c r="CO81" s="35"/>
    </row>
    <row r="82" spans="1:93" s="4" customFormat="1" ht="228.75" outlineLevel="1" x14ac:dyDescent="0.25">
      <c r="A82" s="111">
        <f>A79+1</f>
        <v>60</v>
      </c>
      <c r="B82" s="112" t="s">
        <v>178</v>
      </c>
      <c r="C82" s="113" t="s">
        <v>96</v>
      </c>
      <c r="D82" s="114" t="s">
        <v>19</v>
      </c>
      <c r="E82" s="115">
        <f t="shared" si="115"/>
        <v>1141</v>
      </c>
      <c r="F82" s="116">
        <v>0</v>
      </c>
      <c r="G82" s="116">
        <f t="shared" si="106"/>
        <v>16.666666666666668</v>
      </c>
      <c r="H82" s="116">
        <v>20</v>
      </c>
      <c r="I82" s="116">
        <f t="shared" si="81"/>
        <v>0</v>
      </c>
      <c r="J82" s="115">
        <f>224+271.7</f>
        <v>495.7</v>
      </c>
      <c r="K82" s="116">
        <f t="shared" si="107"/>
        <v>12.916666666666668</v>
      </c>
      <c r="L82" s="116">
        <v>15.5</v>
      </c>
      <c r="M82" s="116">
        <f t="shared" si="82"/>
        <v>7683.3499999999995</v>
      </c>
      <c r="N82" s="117">
        <v>135.4</v>
      </c>
      <c r="O82" s="116">
        <f t="shared" si="108"/>
        <v>4.666666666666667</v>
      </c>
      <c r="P82" s="116">
        <v>5.6</v>
      </c>
      <c r="Q82" s="116">
        <f t="shared" si="83"/>
        <v>758.24</v>
      </c>
      <c r="R82" s="115">
        <v>0</v>
      </c>
      <c r="S82" s="116">
        <f t="shared" si="117"/>
        <v>15.583333333333334</v>
      </c>
      <c r="T82" s="116">
        <v>18.7</v>
      </c>
      <c r="U82" s="116">
        <f t="shared" si="84"/>
        <v>0</v>
      </c>
      <c r="V82" s="116">
        <v>31.6</v>
      </c>
      <c r="W82" s="116">
        <f t="shared" si="109"/>
        <v>6.416666666666667</v>
      </c>
      <c r="X82" s="116">
        <v>7.7</v>
      </c>
      <c r="Y82" s="116">
        <f t="shared" si="85"/>
        <v>243.32000000000002</v>
      </c>
      <c r="Z82" s="115">
        <f>135.8+216</f>
        <v>351.8</v>
      </c>
      <c r="AA82" s="116">
        <f t="shared" si="110"/>
        <v>6</v>
      </c>
      <c r="AB82" s="116">
        <v>7.2</v>
      </c>
      <c r="AC82" s="116">
        <f t="shared" si="86"/>
        <v>2532.96</v>
      </c>
      <c r="AD82" s="116">
        <v>0</v>
      </c>
      <c r="AE82" s="116">
        <f t="shared" si="111"/>
        <v>4.666666666666667</v>
      </c>
      <c r="AF82" s="116">
        <v>5.6</v>
      </c>
      <c r="AG82" s="116">
        <f t="shared" si="87"/>
        <v>0</v>
      </c>
      <c r="AH82" s="117">
        <v>98</v>
      </c>
      <c r="AI82" s="116">
        <f t="shared" si="112"/>
        <v>8.3333333333333339</v>
      </c>
      <c r="AJ82" s="116">
        <v>10</v>
      </c>
      <c r="AK82" s="116">
        <f t="shared" si="88"/>
        <v>980</v>
      </c>
      <c r="AL82" s="117">
        <f>18.6+9.9</f>
        <v>28.5</v>
      </c>
      <c r="AM82" s="116">
        <f t="shared" si="116"/>
        <v>12.750000000000002</v>
      </c>
      <c r="AN82" s="116">
        <v>15.3</v>
      </c>
      <c r="AO82" s="116">
        <f t="shared" si="89"/>
        <v>436.05</v>
      </c>
      <c r="AP82" s="116">
        <f t="shared" si="113"/>
        <v>10528.266666666666</v>
      </c>
      <c r="AQ82" s="116">
        <f t="shared" si="92"/>
        <v>12633.919999999998</v>
      </c>
      <c r="AR82" s="117">
        <f>63.45*2+1054.05*2</f>
        <v>2235</v>
      </c>
      <c r="AS82" s="116" t="s">
        <v>210</v>
      </c>
      <c r="AT82" s="118">
        <v>0</v>
      </c>
      <c r="AU82" s="118">
        <f t="shared" si="114"/>
        <v>6.1000000000000005</v>
      </c>
      <c r="AV82" s="144">
        <v>7.32</v>
      </c>
      <c r="AW82" s="118">
        <f t="shared" si="90"/>
        <v>13633.500000000002</v>
      </c>
      <c r="AX82" s="118">
        <f t="shared" si="91"/>
        <v>16360.2</v>
      </c>
      <c r="AY82" s="119">
        <f t="shared" si="93"/>
        <v>24161.76666666667</v>
      </c>
      <c r="AZ82" s="120">
        <f t="shared" si="93"/>
        <v>28994.12</v>
      </c>
      <c r="BA82" s="9"/>
      <c r="BB82" s="9"/>
      <c r="BC82" s="9"/>
      <c r="BD82" s="9"/>
      <c r="BE82" s="37"/>
      <c r="BF82" s="37"/>
      <c r="BG82" s="35"/>
      <c r="BH82" s="35"/>
      <c r="BI82" s="35"/>
      <c r="BJ82" s="35"/>
      <c r="BK82" s="35"/>
      <c r="BL82" s="35"/>
      <c r="BM82" s="35"/>
      <c r="BN82" s="35"/>
      <c r="BO82" s="35"/>
      <c r="BP82" s="35"/>
      <c r="BQ82" s="35"/>
      <c r="BR82" s="35"/>
      <c r="BS82" s="35"/>
      <c r="BT82" s="35"/>
      <c r="BU82" s="35"/>
      <c r="BV82" s="35"/>
      <c r="BW82" s="35"/>
      <c r="BX82" s="35"/>
      <c r="BY82" s="35"/>
      <c r="BZ82" s="35"/>
      <c r="CA82" s="35"/>
      <c r="CB82" s="35"/>
      <c r="CC82" s="35"/>
      <c r="CD82" s="35"/>
      <c r="CE82" s="35"/>
      <c r="CF82" s="35"/>
      <c r="CG82" s="35"/>
      <c r="CH82" s="35"/>
      <c r="CI82" s="35"/>
      <c r="CJ82" s="35"/>
      <c r="CK82" s="35"/>
      <c r="CL82" s="35"/>
      <c r="CM82" s="35"/>
      <c r="CN82" s="35"/>
      <c r="CO82" s="35"/>
    </row>
    <row r="83" spans="1:93" s="4" customFormat="1" ht="228.75" outlineLevel="1" x14ac:dyDescent="0.25">
      <c r="A83" s="111">
        <f>A82+1</f>
        <v>61</v>
      </c>
      <c r="B83" s="112" t="s">
        <v>178</v>
      </c>
      <c r="C83" s="113" t="s">
        <v>97</v>
      </c>
      <c r="D83" s="114" t="s">
        <v>19</v>
      </c>
      <c r="E83" s="115">
        <f t="shared" si="115"/>
        <v>1085.9000000000001</v>
      </c>
      <c r="F83" s="116">
        <v>0</v>
      </c>
      <c r="G83" s="116">
        <f t="shared" si="106"/>
        <v>16.666666666666668</v>
      </c>
      <c r="H83" s="116">
        <v>20</v>
      </c>
      <c r="I83" s="116">
        <f t="shared" si="81"/>
        <v>0</v>
      </c>
      <c r="J83" s="115">
        <v>136.1</v>
      </c>
      <c r="K83" s="116">
        <f t="shared" si="107"/>
        <v>12.916666666666668</v>
      </c>
      <c r="L83" s="116">
        <v>15.5</v>
      </c>
      <c r="M83" s="116">
        <f t="shared" si="82"/>
        <v>2109.5499999999997</v>
      </c>
      <c r="N83" s="117">
        <v>153.9</v>
      </c>
      <c r="O83" s="116">
        <f t="shared" si="108"/>
        <v>4.666666666666667</v>
      </c>
      <c r="P83" s="116">
        <v>5.6</v>
      </c>
      <c r="Q83" s="116">
        <f t="shared" si="83"/>
        <v>861.84</v>
      </c>
      <c r="R83" s="115">
        <v>0</v>
      </c>
      <c r="S83" s="116">
        <f t="shared" si="117"/>
        <v>15.583333333333334</v>
      </c>
      <c r="T83" s="116">
        <v>18.7</v>
      </c>
      <c r="U83" s="116">
        <f t="shared" si="84"/>
        <v>0</v>
      </c>
      <c r="V83" s="116">
        <v>0</v>
      </c>
      <c r="W83" s="116">
        <f t="shared" si="109"/>
        <v>6.416666666666667</v>
      </c>
      <c r="X83" s="116">
        <v>7.7</v>
      </c>
      <c r="Y83" s="116">
        <f t="shared" si="85"/>
        <v>0</v>
      </c>
      <c r="Z83" s="115">
        <f>126.6+26.4+18+20.3+141.1+13+35.6+69.1</f>
        <v>450.1</v>
      </c>
      <c r="AA83" s="116">
        <f t="shared" si="110"/>
        <v>6</v>
      </c>
      <c r="AB83" s="116">
        <v>7.2</v>
      </c>
      <c r="AC83" s="116">
        <f t="shared" si="86"/>
        <v>3240.7200000000003</v>
      </c>
      <c r="AD83" s="116">
        <v>0</v>
      </c>
      <c r="AE83" s="116">
        <f t="shared" si="111"/>
        <v>4.666666666666667</v>
      </c>
      <c r="AF83" s="116">
        <v>5.6</v>
      </c>
      <c r="AG83" s="116">
        <f t="shared" si="87"/>
        <v>0</v>
      </c>
      <c r="AH83" s="117">
        <f>33.9+301.4</f>
        <v>335.29999999999995</v>
      </c>
      <c r="AI83" s="116">
        <f t="shared" si="112"/>
        <v>8.3333333333333339</v>
      </c>
      <c r="AJ83" s="116">
        <v>10</v>
      </c>
      <c r="AK83" s="116">
        <f t="shared" si="88"/>
        <v>3352.9999999999995</v>
      </c>
      <c r="AL83" s="117">
        <v>10.5</v>
      </c>
      <c r="AM83" s="116">
        <f t="shared" si="116"/>
        <v>12.750000000000002</v>
      </c>
      <c r="AN83" s="116">
        <v>15.3</v>
      </c>
      <c r="AO83" s="116">
        <f t="shared" si="89"/>
        <v>160.65</v>
      </c>
      <c r="AP83" s="116">
        <f t="shared" si="113"/>
        <v>8104.8</v>
      </c>
      <c r="AQ83" s="116">
        <f t="shared" si="92"/>
        <v>9725.76</v>
      </c>
      <c r="AR83" s="117">
        <f>252.3*3+50</f>
        <v>806.90000000000009</v>
      </c>
      <c r="AS83" s="116" t="s">
        <v>210</v>
      </c>
      <c r="AT83" s="118">
        <v>0</v>
      </c>
      <c r="AU83" s="118">
        <f t="shared" si="114"/>
        <v>6.1000000000000005</v>
      </c>
      <c r="AV83" s="144">
        <v>7.32</v>
      </c>
      <c r="AW83" s="118">
        <f t="shared" si="90"/>
        <v>4922.0900000000011</v>
      </c>
      <c r="AX83" s="118">
        <f t="shared" si="91"/>
        <v>5906.5080000000007</v>
      </c>
      <c r="AY83" s="119">
        <f t="shared" si="93"/>
        <v>13026.890000000001</v>
      </c>
      <c r="AZ83" s="120">
        <f t="shared" si="93"/>
        <v>15632.268</v>
      </c>
      <c r="BA83" s="9"/>
      <c r="BB83" s="9"/>
      <c r="BC83" s="9"/>
      <c r="BD83" s="9"/>
      <c r="BE83" s="37"/>
      <c r="BF83" s="37"/>
      <c r="BG83" s="35"/>
      <c r="BH83" s="35"/>
      <c r="BI83" s="35"/>
      <c r="BJ83" s="35"/>
      <c r="BK83" s="35"/>
      <c r="BL83" s="35"/>
      <c r="BM83" s="35"/>
      <c r="BN83" s="35"/>
      <c r="BO83" s="35"/>
      <c r="BP83" s="35"/>
      <c r="BQ83" s="35"/>
      <c r="BR83" s="35"/>
      <c r="BS83" s="35"/>
      <c r="BT83" s="35"/>
      <c r="BU83" s="35"/>
      <c r="BV83" s="35"/>
      <c r="BW83" s="35"/>
      <c r="BX83" s="35"/>
      <c r="BY83" s="35"/>
      <c r="BZ83" s="35"/>
      <c r="CA83" s="35"/>
      <c r="CB83" s="35"/>
      <c r="CC83" s="35"/>
      <c r="CD83" s="35"/>
      <c r="CE83" s="35"/>
      <c r="CF83" s="35"/>
      <c r="CG83" s="35"/>
      <c r="CH83" s="35"/>
      <c r="CI83" s="35"/>
      <c r="CJ83" s="35"/>
      <c r="CK83" s="35"/>
      <c r="CL83" s="35"/>
      <c r="CM83" s="35"/>
      <c r="CN83" s="35"/>
      <c r="CO83" s="35"/>
    </row>
    <row r="84" spans="1:93" s="5" customFormat="1" ht="45.75" outlineLevel="1" x14ac:dyDescent="0.25">
      <c r="A84" s="160" t="s">
        <v>159</v>
      </c>
      <c r="B84" s="161"/>
      <c r="C84" s="161"/>
      <c r="D84" s="124"/>
      <c r="E84" s="115"/>
      <c r="F84" s="124"/>
      <c r="G84" s="116"/>
      <c r="H84" s="124"/>
      <c r="I84" s="124"/>
      <c r="J84" s="124"/>
      <c r="K84" s="116"/>
      <c r="L84" s="116"/>
      <c r="M84" s="124"/>
      <c r="N84" s="124"/>
      <c r="O84" s="116"/>
      <c r="P84" s="116"/>
      <c r="Q84" s="124"/>
      <c r="R84" s="124"/>
      <c r="S84" s="116"/>
      <c r="T84" s="116"/>
      <c r="U84" s="124"/>
      <c r="V84" s="124"/>
      <c r="W84" s="116"/>
      <c r="X84" s="116"/>
      <c r="Y84" s="124"/>
      <c r="Z84" s="124"/>
      <c r="AA84" s="116"/>
      <c r="AB84" s="116"/>
      <c r="AC84" s="124"/>
      <c r="AD84" s="124"/>
      <c r="AE84" s="116"/>
      <c r="AF84" s="116"/>
      <c r="AG84" s="124"/>
      <c r="AH84" s="124"/>
      <c r="AI84" s="116"/>
      <c r="AJ84" s="116"/>
      <c r="AK84" s="124"/>
      <c r="AL84" s="124"/>
      <c r="AM84" s="116"/>
      <c r="AN84" s="116"/>
      <c r="AO84" s="124"/>
      <c r="AP84" s="116"/>
      <c r="AQ84" s="129"/>
      <c r="AR84" s="124"/>
      <c r="AS84" s="116"/>
      <c r="AT84" s="126"/>
      <c r="AU84" s="118"/>
      <c r="AV84" s="144"/>
      <c r="AW84" s="126"/>
      <c r="AX84" s="126"/>
      <c r="AY84" s="127"/>
      <c r="AZ84" s="128"/>
      <c r="BA84" s="9"/>
      <c r="BB84" s="9"/>
      <c r="BC84" s="9"/>
      <c r="BD84" s="9"/>
      <c r="BE84" s="9"/>
      <c r="BF84" s="9"/>
      <c r="CJ84" s="35"/>
      <c r="CK84" s="35"/>
      <c r="CL84" s="35"/>
      <c r="CM84" s="35"/>
      <c r="CN84" s="35"/>
      <c r="CO84" s="35"/>
    </row>
    <row r="85" spans="1:93" s="4" customFormat="1" ht="228.75" outlineLevel="1" x14ac:dyDescent="0.25">
      <c r="A85" s="111">
        <f>A83+1</f>
        <v>62</v>
      </c>
      <c r="B85" s="112" t="s">
        <v>177</v>
      </c>
      <c r="C85" s="113" t="s">
        <v>98</v>
      </c>
      <c r="D85" s="114" t="s">
        <v>19</v>
      </c>
      <c r="E85" s="115">
        <f t="shared" si="115"/>
        <v>459.7</v>
      </c>
      <c r="F85" s="116">
        <v>0</v>
      </c>
      <c r="G85" s="116">
        <f t="shared" si="106"/>
        <v>16.666666666666668</v>
      </c>
      <c r="H85" s="116">
        <v>20</v>
      </c>
      <c r="I85" s="116">
        <f t="shared" si="81"/>
        <v>0</v>
      </c>
      <c r="J85" s="115">
        <v>75.8</v>
      </c>
      <c r="K85" s="116">
        <f t="shared" si="107"/>
        <v>12.916666666666668</v>
      </c>
      <c r="L85" s="116">
        <v>15.5</v>
      </c>
      <c r="M85" s="116">
        <f t="shared" si="82"/>
        <v>1174.8999999999999</v>
      </c>
      <c r="N85" s="117">
        <v>0</v>
      </c>
      <c r="O85" s="116">
        <f t="shared" si="108"/>
        <v>4.666666666666667</v>
      </c>
      <c r="P85" s="116">
        <v>5.6</v>
      </c>
      <c r="Q85" s="116">
        <f t="shared" si="83"/>
        <v>0</v>
      </c>
      <c r="R85" s="115">
        <v>0</v>
      </c>
      <c r="S85" s="116">
        <f t="shared" si="117"/>
        <v>15.583333333333334</v>
      </c>
      <c r="T85" s="116">
        <v>18.7</v>
      </c>
      <c r="U85" s="116">
        <f t="shared" si="84"/>
        <v>0</v>
      </c>
      <c r="V85" s="116">
        <f>131.4</f>
        <v>131.4</v>
      </c>
      <c r="W85" s="116">
        <f t="shared" si="109"/>
        <v>6.416666666666667</v>
      </c>
      <c r="X85" s="116">
        <v>7.7</v>
      </c>
      <c r="Y85" s="116">
        <f t="shared" si="85"/>
        <v>1011.7800000000001</v>
      </c>
      <c r="Z85" s="115">
        <v>235.3</v>
      </c>
      <c r="AA85" s="116">
        <f t="shared" si="110"/>
        <v>6</v>
      </c>
      <c r="AB85" s="116">
        <v>7.2</v>
      </c>
      <c r="AC85" s="116">
        <f t="shared" si="86"/>
        <v>1694.16</v>
      </c>
      <c r="AD85" s="116">
        <v>0</v>
      </c>
      <c r="AE85" s="116">
        <f t="shared" si="111"/>
        <v>4.666666666666667</v>
      </c>
      <c r="AF85" s="116">
        <v>5.6</v>
      </c>
      <c r="AG85" s="116">
        <f t="shared" si="87"/>
        <v>0</v>
      </c>
      <c r="AH85" s="117">
        <v>0</v>
      </c>
      <c r="AI85" s="116">
        <f t="shared" si="112"/>
        <v>8.3333333333333339</v>
      </c>
      <c r="AJ85" s="116">
        <v>10</v>
      </c>
      <c r="AK85" s="116">
        <f t="shared" si="88"/>
        <v>0</v>
      </c>
      <c r="AL85" s="117">
        <f>4.3+2.1+10.8</f>
        <v>17.200000000000003</v>
      </c>
      <c r="AM85" s="116">
        <f t="shared" si="116"/>
        <v>12.750000000000002</v>
      </c>
      <c r="AN85" s="116">
        <v>15.3</v>
      </c>
      <c r="AO85" s="116">
        <f t="shared" si="89"/>
        <v>263.16000000000008</v>
      </c>
      <c r="AP85" s="116">
        <f t="shared" si="113"/>
        <v>3453.3333333333335</v>
      </c>
      <c r="AQ85" s="116">
        <f t="shared" si="92"/>
        <v>4144</v>
      </c>
      <c r="AR85" s="117">
        <f>22+786</f>
        <v>808</v>
      </c>
      <c r="AS85" s="116" t="s">
        <v>210</v>
      </c>
      <c r="AT85" s="118">
        <v>0</v>
      </c>
      <c r="AU85" s="118">
        <f t="shared" si="114"/>
        <v>6.1000000000000005</v>
      </c>
      <c r="AV85" s="144">
        <v>7.32</v>
      </c>
      <c r="AW85" s="118">
        <f t="shared" si="90"/>
        <v>4928.8</v>
      </c>
      <c r="AX85" s="118">
        <f t="shared" si="91"/>
        <v>5914.56</v>
      </c>
      <c r="AY85" s="119">
        <f t="shared" si="93"/>
        <v>8382.1333333333332</v>
      </c>
      <c r="AZ85" s="120">
        <f t="shared" si="93"/>
        <v>10058.560000000001</v>
      </c>
      <c r="BA85" s="9"/>
      <c r="BB85" s="9"/>
      <c r="BC85" s="9"/>
      <c r="BD85" s="9"/>
      <c r="BE85" s="37"/>
      <c r="BF85" s="37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  <c r="CN85" s="35"/>
      <c r="CO85" s="35"/>
    </row>
    <row r="86" spans="1:93" s="4" customFormat="1" ht="274.5" outlineLevel="1" x14ac:dyDescent="0.25">
      <c r="A86" s="111">
        <f>A85+1</f>
        <v>63</v>
      </c>
      <c r="B86" s="112" t="s">
        <v>177</v>
      </c>
      <c r="C86" s="113" t="s">
        <v>99</v>
      </c>
      <c r="D86" s="114" t="s">
        <v>19</v>
      </c>
      <c r="E86" s="115">
        <f t="shared" si="115"/>
        <v>2314.5</v>
      </c>
      <c r="F86" s="116">
        <v>0</v>
      </c>
      <c r="G86" s="116">
        <f t="shared" si="106"/>
        <v>16.666666666666668</v>
      </c>
      <c r="H86" s="116">
        <v>20</v>
      </c>
      <c r="I86" s="116">
        <f t="shared" si="81"/>
        <v>0</v>
      </c>
      <c r="J86" s="115">
        <v>336</v>
      </c>
      <c r="K86" s="116">
        <f t="shared" si="107"/>
        <v>12.916666666666668</v>
      </c>
      <c r="L86" s="116">
        <v>15.5</v>
      </c>
      <c r="M86" s="116">
        <f t="shared" si="82"/>
        <v>5208</v>
      </c>
      <c r="N86" s="117">
        <f>792.9+277.7+343+39</f>
        <v>1452.6</v>
      </c>
      <c r="O86" s="116">
        <f t="shared" si="108"/>
        <v>4.666666666666667</v>
      </c>
      <c r="P86" s="116">
        <v>5.6</v>
      </c>
      <c r="Q86" s="116">
        <f t="shared" si="83"/>
        <v>8134.5599999999986</v>
      </c>
      <c r="R86" s="115">
        <v>0</v>
      </c>
      <c r="S86" s="116">
        <f t="shared" si="117"/>
        <v>15.583333333333334</v>
      </c>
      <c r="T86" s="116">
        <v>18.7</v>
      </c>
      <c r="U86" s="116">
        <f t="shared" si="84"/>
        <v>0</v>
      </c>
      <c r="V86" s="116">
        <f>56.7+16.5+31.8</f>
        <v>105</v>
      </c>
      <c r="W86" s="116">
        <f t="shared" si="109"/>
        <v>6.416666666666667</v>
      </c>
      <c r="X86" s="116">
        <v>7.7</v>
      </c>
      <c r="Y86" s="116">
        <f t="shared" si="85"/>
        <v>808.5</v>
      </c>
      <c r="Z86" s="115">
        <f>244+52.4+16.5+16.5</f>
        <v>329.4</v>
      </c>
      <c r="AA86" s="116">
        <f t="shared" si="110"/>
        <v>6</v>
      </c>
      <c r="AB86" s="116">
        <v>7.2</v>
      </c>
      <c r="AC86" s="116">
        <f t="shared" si="86"/>
        <v>2371.6799999999998</v>
      </c>
      <c r="AD86" s="116">
        <v>0</v>
      </c>
      <c r="AE86" s="116">
        <f t="shared" si="111"/>
        <v>4.666666666666667</v>
      </c>
      <c r="AF86" s="116">
        <v>5.6</v>
      </c>
      <c r="AG86" s="116">
        <f t="shared" si="87"/>
        <v>0</v>
      </c>
      <c r="AH86" s="117">
        <f>54+17.5</f>
        <v>71.5</v>
      </c>
      <c r="AI86" s="116">
        <f t="shared" si="112"/>
        <v>8.3333333333333339</v>
      </c>
      <c r="AJ86" s="116">
        <v>10</v>
      </c>
      <c r="AK86" s="116">
        <f t="shared" si="88"/>
        <v>715</v>
      </c>
      <c r="AL86" s="117">
        <f>11.7+4.1+4.2</f>
        <v>20</v>
      </c>
      <c r="AM86" s="116">
        <f t="shared" si="116"/>
        <v>12.750000000000002</v>
      </c>
      <c r="AN86" s="116">
        <v>15.3</v>
      </c>
      <c r="AO86" s="116">
        <f t="shared" si="89"/>
        <v>306</v>
      </c>
      <c r="AP86" s="116">
        <f t="shared" si="113"/>
        <v>14619.783333333333</v>
      </c>
      <c r="AQ86" s="116">
        <f t="shared" si="92"/>
        <v>17543.739999999998</v>
      </c>
      <c r="AR86" s="117">
        <f>15*2+315+415</f>
        <v>760</v>
      </c>
      <c r="AS86" s="116" t="s">
        <v>210</v>
      </c>
      <c r="AT86" s="118">
        <v>0</v>
      </c>
      <c r="AU86" s="118">
        <f t="shared" si="114"/>
        <v>6.1000000000000005</v>
      </c>
      <c r="AV86" s="144">
        <v>7.32</v>
      </c>
      <c r="AW86" s="118">
        <f t="shared" ref="AW86" si="119">AU86*AR86</f>
        <v>4636</v>
      </c>
      <c r="AX86" s="118">
        <f t="shared" ref="AX86" si="120">AV86*AR86</f>
        <v>5563.2</v>
      </c>
      <c r="AY86" s="119">
        <f t="shared" si="93"/>
        <v>19255.783333333333</v>
      </c>
      <c r="AZ86" s="120">
        <f t="shared" si="93"/>
        <v>23106.94</v>
      </c>
      <c r="BA86" s="9"/>
      <c r="BB86" s="9"/>
      <c r="BC86" s="9"/>
      <c r="BD86" s="9"/>
      <c r="BE86" s="37"/>
      <c r="BF86" s="37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  <c r="CD86" s="35"/>
      <c r="CE86" s="35"/>
      <c r="CF86" s="35"/>
      <c r="CG86" s="35"/>
      <c r="CH86" s="35"/>
      <c r="CI86" s="35"/>
      <c r="CJ86" s="35"/>
      <c r="CK86" s="35"/>
      <c r="CL86" s="35"/>
      <c r="CM86" s="35"/>
      <c r="CN86" s="35"/>
      <c r="CO86" s="35"/>
    </row>
    <row r="87" spans="1:93" s="4" customFormat="1" ht="274.5" outlineLevel="1" x14ac:dyDescent="0.25">
      <c r="A87" s="111">
        <f t="shared" ref="A87:A92" si="121">A86+1</f>
        <v>64</v>
      </c>
      <c r="B87" s="112" t="s">
        <v>177</v>
      </c>
      <c r="C87" s="113" t="s">
        <v>100</v>
      </c>
      <c r="D87" s="114" t="s">
        <v>19</v>
      </c>
      <c r="E87" s="115">
        <f t="shared" si="115"/>
        <v>549.6</v>
      </c>
      <c r="F87" s="116">
        <v>0</v>
      </c>
      <c r="G87" s="116">
        <f t="shared" si="106"/>
        <v>16.666666666666668</v>
      </c>
      <c r="H87" s="116">
        <v>20</v>
      </c>
      <c r="I87" s="116">
        <f t="shared" si="81"/>
        <v>0</v>
      </c>
      <c r="J87" s="115">
        <f>0</f>
        <v>0</v>
      </c>
      <c r="K87" s="116">
        <f t="shared" si="107"/>
        <v>12.916666666666668</v>
      </c>
      <c r="L87" s="116">
        <v>15.5</v>
      </c>
      <c r="M87" s="116">
        <f t="shared" si="82"/>
        <v>0</v>
      </c>
      <c r="N87" s="117">
        <v>319</v>
      </c>
      <c r="O87" s="116">
        <f t="shared" si="108"/>
        <v>4.666666666666667</v>
      </c>
      <c r="P87" s="116">
        <v>5.6</v>
      </c>
      <c r="Q87" s="116">
        <f t="shared" si="83"/>
        <v>1786.3999999999999</v>
      </c>
      <c r="R87" s="115">
        <v>0</v>
      </c>
      <c r="S87" s="116">
        <f t="shared" si="117"/>
        <v>15.583333333333334</v>
      </c>
      <c r="T87" s="116">
        <v>18.7</v>
      </c>
      <c r="U87" s="116">
        <f t="shared" si="84"/>
        <v>0</v>
      </c>
      <c r="V87" s="116">
        <v>40.700000000000003</v>
      </c>
      <c r="W87" s="116">
        <f t="shared" si="109"/>
        <v>6.416666666666667</v>
      </c>
      <c r="X87" s="116">
        <v>7.7</v>
      </c>
      <c r="Y87" s="116">
        <f t="shared" si="85"/>
        <v>313.39000000000004</v>
      </c>
      <c r="Z87" s="115">
        <f>38.6+32+38.6+17.8+38.6</f>
        <v>165.6</v>
      </c>
      <c r="AA87" s="116">
        <f t="shared" si="110"/>
        <v>6</v>
      </c>
      <c r="AB87" s="116">
        <v>7.2</v>
      </c>
      <c r="AC87" s="116">
        <f t="shared" si="86"/>
        <v>1192.32</v>
      </c>
      <c r="AD87" s="116">
        <v>0</v>
      </c>
      <c r="AE87" s="116">
        <f t="shared" si="111"/>
        <v>4.666666666666667</v>
      </c>
      <c r="AF87" s="116">
        <v>5.6</v>
      </c>
      <c r="AG87" s="116">
        <f t="shared" si="87"/>
        <v>0</v>
      </c>
      <c r="AH87" s="117">
        <v>10.1</v>
      </c>
      <c r="AI87" s="116">
        <f t="shared" si="112"/>
        <v>8.3333333333333339</v>
      </c>
      <c r="AJ87" s="116">
        <v>10</v>
      </c>
      <c r="AK87" s="116">
        <f t="shared" si="88"/>
        <v>101</v>
      </c>
      <c r="AL87" s="117">
        <f>4.5+4.6+5.1</f>
        <v>14.2</v>
      </c>
      <c r="AM87" s="116">
        <f t="shared" si="116"/>
        <v>12.750000000000002</v>
      </c>
      <c r="AN87" s="116">
        <v>15.3</v>
      </c>
      <c r="AO87" s="116">
        <f t="shared" si="89"/>
        <v>217.26</v>
      </c>
      <c r="AP87" s="116">
        <f t="shared" si="113"/>
        <v>3008.6416666666669</v>
      </c>
      <c r="AQ87" s="116">
        <f t="shared" si="92"/>
        <v>3610.37</v>
      </c>
      <c r="AR87" s="117">
        <v>40</v>
      </c>
      <c r="AS87" s="116" t="s">
        <v>210</v>
      </c>
      <c r="AT87" s="118">
        <v>0</v>
      </c>
      <c r="AU87" s="118">
        <f t="shared" si="114"/>
        <v>6.1000000000000005</v>
      </c>
      <c r="AV87" s="144">
        <v>7.32</v>
      </c>
      <c r="AW87" s="118">
        <f t="shared" si="90"/>
        <v>244.00000000000003</v>
      </c>
      <c r="AX87" s="118">
        <f t="shared" si="91"/>
        <v>292.8</v>
      </c>
      <c r="AY87" s="119">
        <f t="shared" si="93"/>
        <v>3252.6416666666669</v>
      </c>
      <c r="AZ87" s="120">
        <f t="shared" si="93"/>
        <v>3903.17</v>
      </c>
      <c r="BA87" s="9"/>
      <c r="BB87" s="9"/>
      <c r="BC87" s="9"/>
      <c r="BD87" s="9"/>
      <c r="BE87" s="37"/>
      <c r="BF87" s="37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  <c r="CG87" s="35"/>
      <c r="CH87" s="35"/>
      <c r="CI87" s="35"/>
      <c r="CJ87" s="35"/>
      <c r="CK87" s="35"/>
      <c r="CL87" s="35"/>
      <c r="CM87" s="35"/>
      <c r="CN87" s="35"/>
      <c r="CO87" s="35"/>
    </row>
    <row r="88" spans="1:93" s="4" customFormat="1" ht="409.5" outlineLevel="1" x14ac:dyDescent="0.25">
      <c r="A88" s="111">
        <f t="shared" si="121"/>
        <v>65</v>
      </c>
      <c r="B88" s="112" t="s">
        <v>177</v>
      </c>
      <c r="C88" s="113" t="s">
        <v>101</v>
      </c>
      <c r="D88" s="114" t="s">
        <v>19</v>
      </c>
      <c r="E88" s="115">
        <f t="shared" si="115"/>
        <v>158.5</v>
      </c>
      <c r="F88" s="116">
        <v>0</v>
      </c>
      <c r="G88" s="116">
        <f t="shared" si="106"/>
        <v>16.666666666666668</v>
      </c>
      <c r="H88" s="116">
        <v>20</v>
      </c>
      <c r="I88" s="116">
        <f t="shared" si="81"/>
        <v>0</v>
      </c>
      <c r="J88" s="115">
        <v>0</v>
      </c>
      <c r="K88" s="116">
        <f t="shared" si="107"/>
        <v>12.916666666666668</v>
      </c>
      <c r="L88" s="116">
        <v>15.5</v>
      </c>
      <c r="M88" s="116">
        <f t="shared" si="82"/>
        <v>0</v>
      </c>
      <c r="N88" s="117">
        <f>115+10.4</f>
        <v>125.4</v>
      </c>
      <c r="O88" s="116">
        <f t="shared" si="108"/>
        <v>4.666666666666667</v>
      </c>
      <c r="P88" s="116">
        <v>5.6</v>
      </c>
      <c r="Q88" s="116">
        <f t="shared" si="83"/>
        <v>702.24</v>
      </c>
      <c r="R88" s="115">
        <v>0</v>
      </c>
      <c r="S88" s="116">
        <f t="shared" si="117"/>
        <v>15.583333333333334</v>
      </c>
      <c r="T88" s="116">
        <v>18.7</v>
      </c>
      <c r="U88" s="116">
        <f t="shared" si="84"/>
        <v>0</v>
      </c>
      <c r="V88" s="116">
        <v>5</v>
      </c>
      <c r="W88" s="116">
        <f t="shared" si="109"/>
        <v>6.416666666666667</v>
      </c>
      <c r="X88" s="116">
        <v>7.7</v>
      </c>
      <c r="Y88" s="116">
        <f t="shared" si="85"/>
        <v>38.5</v>
      </c>
      <c r="Z88" s="115">
        <f>13.5+11</f>
        <v>24.5</v>
      </c>
      <c r="AA88" s="116">
        <f t="shared" si="110"/>
        <v>6</v>
      </c>
      <c r="AB88" s="116">
        <v>7.2</v>
      </c>
      <c r="AC88" s="116">
        <f t="shared" si="86"/>
        <v>176.4</v>
      </c>
      <c r="AD88" s="116">
        <v>0</v>
      </c>
      <c r="AE88" s="116">
        <f t="shared" si="111"/>
        <v>4.666666666666667</v>
      </c>
      <c r="AF88" s="116">
        <v>5.6</v>
      </c>
      <c r="AG88" s="116">
        <f t="shared" si="87"/>
        <v>0</v>
      </c>
      <c r="AH88" s="117">
        <v>0</v>
      </c>
      <c r="AI88" s="116">
        <f t="shared" si="112"/>
        <v>8.3333333333333339</v>
      </c>
      <c r="AJ88" s="116">
        <v>10</v>
      </c>
      <c r="AK88" s="116">
        <f t="shared" si="88"/>
        <v>0</v>
      </c>
      <c r="AL88" s="117">
        <v>3.6</v>
      </c>
      <c r="AM88" s="116">
        <f t="shared" si="116"/>
        <v>12.750000000000002</v>
      </c>
      <c r="AN88" s="116">
        <v>15.3</v>
      </c>
      <c r="AO88" s="116">
        <f t="shared" si="89"/>
        <v>55.080000000000005</v>
      </c>
      <c r="AP88" s="116">
        <f t="shared" si="113"/>
        <v>810.18333333333339</v>
      </c>
      <c r="AQ88" s="116">
        <f t="shared" si="92"/>
        <v>972.22</v>
      </c>
      <c r="AR88" s="117">
        <v>80</v>
      </c>
      <c r="AS88" s="116" t="s">
        <v>210</v>
      </c>
      <c r="AT88" s="118">
        <v>0</v>
      </c>
      <c r="AU88" s="118">
        <f t="shared" si="114"/>
        <v>6.1000000000000005</v>
      </c>
      <c r="AV88" s="144">
        <v>7.32</v>
      </c>
      <c r="AW88" s="118">
        <f t="shared" si="90"/>
        <v>488.00000000000006</v>
      </c>
      <c r="AX88" s="118">
        <f t="shared" si="91"/>
        <v>585.6</v>
      </c>
      <c r="AY88" s="119">
        <f t="shared" si="93"/>
        <v>1298.1833333333334</v>
      </c>
      <c r="AZ88" s="120">
        <f t="shared" si="93"/>
        <v>1557.8200000000002</v>
      </c>
      <c r="BA88" s="9"/>
      <c r="BB88" s="9"/>
      <c r="BC88" s="9"/>
      <c r="BD88" s="9"/>
      <c r="BE88" s="37"/>
      <c r="BF88" s="37"/>
      <c r="BG88" s="35"/>
      <c r="BH88" s="35"/>
      <c r="BI88" s="35"/>
      <c r="BJ88" s="35"/>
      <c r="BK88" s="35"/>
      <c r="BL88" s="35"/>
      <c r="BM88" s="35"/>
      <c r="BN88" s="35"/>
      <c r="BO88" s="35"/>
      <c r="BP88" s="35"/>
      <c r="BQ88" s="35"/>
      <c r="BR88" s="35"/>
      <c r="BS88" s="35"/>
      <c r="BT88" s="35"/>
      <c r="BU88" s="35"/>
      <c r="BV88" s="35"/>
      <c r="BW88" s="35"/>
      <c r="BX88" s="35"/>
      <c r="BY88" s="35"/>
      <c r="BZ88" s="35"/>
      <c r="CA88" s="35"/>
      <c r="CB88" s="35"/>
      <c r="CC88" s="35"/>
      <c r="CD88" s="35"/>
      <c r="CE88" s="35"/>
      <c r="CF88" s="35"/>
      <c r="CG88" s="35"/>
      <c r="CH88" s="35"/>
      <c r="CI88" s="35"/>
      <c r="CJ88" s="35"/>
      <c r="CK88" s="35"/>
      <c r="CL88" s="35"/>
      <c r="CM88" s="35"/>
      <c r="CN88" s="35"/>
      <c r="CO88" s="35"/>
    </row>
    <row r="89" spans="1:93" s="4" customFormat="1" ht="320.25" outlineLevel="1" x14ac:dyDescent="0.25">
      <c r="A89" s="111">
        <f t="shared" si="121"/>
        <v>66</v>
      </c>
      <c r="B89" s="112" t="s">
        <v>177</v>
      </c>
      <c r="C89" s="113" t="s">
        <v>155</v>
      </c>
      <c r="D89" s="114" t="s">
        <v>19</v>
      </c>
      <c r="E89" s="115">
        <f t="shared" si="115"/>
        <v>505.20000000000005</v>
      </c>
      <c r="F89" s="116">
        <v>0</v>
      </c>
      <c r="G89" s="116">
        <f t="shared" si="106"/>
        <v>16.666666666666668</v>
      </c>
      <c r="H89" s="116">
        <v>20</v>
      </c>
      <c r="I89" s="116">
        <f t="shared" si="81"/>
        <v>0</v>
      </c>
      <c r="J89" s="115">
        <f>87.5+31.1</f>
        <v>118.6</v>
      </c>
      <c r="K89" s="116">
        <f t="shared" si="107"/>
        <v>12.916666666666668</v>
      </c>
      <c r="L89" s="116">
        <v>15.5</v>
      </c>
      <c r="M89" s="116">
        <f t="shared" si="82"/>
        <v>1838.3</v>
      </c>
      <c r="N89" s="117">
        <f>135.7+118.3</f>
        <v>254</v>
      </c>
      <c r="O89" s="116">
        <f t="shared" si="108"/>
        <v>4.666666666666667</v>
      </c>
      <c r="P89" s="116">
        <v>5.6</v>
      </c>
      <c r="Q89" s="116">
        <f t="shared" si="83"/>
        <v>1422.3999999999999</v>
      </c>
      <c r="R89" s="115">
        <v>0</v>
      </c>
      <c r="S89" s="116">
        <f t="shared" si="117"/>
        <v>15.583333333333334</v>
      </c>
      <c r="T89" s="116">
        <v>18.7</v>
      </c>
      <c r="U89" s="116">
        <f t="shared" si="84"/>
        <v>0</v>
      </c>
      <c r="V89" s="116">
        <v>14.5</v>
      </c>
      <c r="W89" s="116">
        <f t="shared" si="109"/>
        <v>6.416666666666667</v>
      </c>
      <c r="X89" s="116">
        <v>7.7</v>
      </c>
      <c r="Y89" s="116">
        <f t="shared" si="85"/>
        <v>111.65</v>
      </c>
      <c r="Z89" s="115">
        <f>40.1+23.4+11.8+40.3</f>
        <v>115.6</v>
      </c>
      <c r="AA89" s="116">
        <f t="shared" si="110"/>
        <v>6</v>
      </c>
      <c r="AB89" s="116">
        <v>7.2</v>
      </c>
      <c r="AC89" s="116">
        <f t="shared" si="86"/>
        <v>832.31999999999994</v>
      </c>
      <c r="AD89" s="116">
        <v>0</v>
      </c>
      <c r="AE89" s="116">
        <f t="shared" si="111"/>
        <v>4.666666666666667</v>
      </c>
      <c r="AF89" s="116">
        <v>5.6</v>
      </c>
      <c r="AG89" s="116">
        <f t="shared" si="87"/>
        <v>0</v>
      </c>
      <c r="AH89" s="117">
        <v>0</v>
      </c>
      <c r="AI89" s="116">
        <f t="shared" si="112"/>
        <v>8.3333333333333339</v>
      </c>
      <c r="AJ89" s="116">
        <v>10</v>
      </c>
      <c r="AK89" s="116">
        <f t="shared" si="88"/>
        <v>0</v>
      </c>
      <c r="AL89" s="117">
        <v>2.5</v>
      </c>
      <c r="AM89" s="116">
        <f t="shared" si="116"/>
        <v>12.750000000000002</v>
      </c>
      <c r="AN89" s="116">
        <v>15.3</v>
      </c>
      <c r="AO89" s="116">
        <f t="shared" si="89"/>
        <v>38.25</v>
      </c>
      <c r="AP89" s="116">
        <f t="shared" si="113"/>
        <v>3535.7666666666669</v>
      </c>
      <c r="AQ89" s="116">
        <f t="shared" si="92"/>
        <v>4242.92</v>
      </c>
      <c r="AR89" s="117">
        <f>60+190</f>
        <v>250</v>
      </c>
      <c r="AS89" s="116" t="s">
        <v>210</v>
      </c>
      <c r="AT89" s="118">
        <v>0</v>
      </c>
      <c r="AU89" s="118">
        <f t="shared" si="114"/>
        <v>6.1000000000000005</v>
      </c>
      <c r="AV89" s="144">
        <v>7.32</v>
      </c>
      <c r="AW89" s="118">
        <f t="shared" si="90"/>
        <v>1525.0000000000002</v>
      </c>
      <c r="AX89" s="118">
        <f t="shared" si="91"/>
        <v>1830</v>
      </c>
      <c r="AY89" s="119">
        <f t="shared" si="93"/>
        <v>5060.7666666666673</v>
      </c>
      <c r="AZ89" s="120">
        <f t="shared" si="93"/>
        <v>6072.92</v>
      </c>
      <c r="BA89" s="9"/>
      <c r="BB89" s="9"/>
      <c r="BC89" s="9"/>
      <c r="BD89" s="9"/>
      <c r="BE89" s="37"/>
      <c r="BF89" s="37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5"/>
      <c r="BR89" s="35"/>
      <c r="BS89" s="35"/>
      <c r="BT89" s="35"/>
      <c r="BU89" s="35"/>
      <c r="BV89" s="35"/>
      <c r="BW89" s="35"/>
      <c r="BX89" s="35"/>
      <c r="BY89" s="35"/>
      <c r="BZ89" s="35"/>
      <c r="CA89" s="35"/>
      <c r="CB89" s="35"/>
      <c r="CC89" s="35"/>
      <c r="CD89" s="35"/>
      <c r="CE89" s="35"/>
      <c r="CF89" s="35"/>
      <c r="CG89" s="35"/>
      <c r="CH89" s="35"/>
      <c r="CI89" s="35"/>
      <c r="CJ89" s="35"/>
      <c r="CK89" s="35"/>
      <c r="CL89" s="35"/>
      <c r="CM89" s="35"/>
      <c r="CN89" s="35"/>
      <c r="CO89" s="35"/>
    </row>
    <row r="90" spans="1:93" s="4" customFormat="1" ht="366" outlineLevel="1" x14ac:dyDescent="0.25">
      <c r="A90" s="111">
        <f t="shared" si="121"/>
        <v>67</v>
      </c>
      <c r="B90" s="112" t="s">
        <v>177</v>
      </c>
      <c r="C90" s="113" t="s">
        <v>102</v>
      </c>
      <c r="D90" s="114" t="s">
        <v>19</v>
      </c>
      <c r="E90" s="115">
        <f t="shared" si="115"/>
        <v>623.79999999999995</v>
      </c>
      <c r="F90" s="116">
        <v>0</v>
      </c>
      <c r="G90" s="116">
        <f t="shared" si="106"/>
        <v>16.666666666666668</v>
      </c>
      <c r="H90" s="116">
        <v>20</v>
      </c>
      <c r="I90" s="116">
        <f t="shared" si="81"/>
        <v>0</v>
      </c>
      <c r="J90" s="115">
        <v>244.1</v>
      </c>
      <c r="K90" s="116">
        <f t="shared" si="107"/>
        <v>12.916666666666668</v>
      </c>
      <c r="L90" s="116">
        <v>15.5</v>
      </c>
      <c r="M90" s="116">
        <f t="shared" si="82"/>
        <v>3783.5499999999997</v>
      </c>
      <c r="N90" s="117">
        <v>50.1</v>
      </c>
      <c r="O90" s="116">
        <f t="shared" si="108"/>
        <v>4.666666666666667</v>
      </c>
      <c r="P90" s="116">
        <v>5.6</v>
      </c>
      <c r="Q90" s="116">
        <f t="shared" si="83"/>
        <v>280.56</v>
      </c>
      <c r="R90" s="115">
        <v>0</v>
      </c>
      <c r="S90" s="116">
        <f t="shared" si="117"/>
        <v>15.583333333333334</v>
      </c>
      <c r="T90" s="116">
        <v>18.7</v>
      </c>
      <c r="U90" s="116">
        <f t="shared" si="84"/>
        <v>0</v>
      </c>
      <c r="V90" s="116">
        <v>0</v>
      </c>
      <c r="W90" s="116">
        <f t="shared" si="109"/>
        <v>6.416666666666667</v>
      </c>
      <c r="X90" s="116">
        <v>7.7</v>
      </c>
      <c r="Y90" s="116">
        <f t="shared" si="85"/>
        <v>0</v>
      </c>
      <c r="Z90" s="115">
        <v>60.5</v>
      </c>
      <c r="AA90" s="116">
        <f t="shared" si="110"/>
        <v>6</v>
      </c>
      <c r="AB90" s="116">
        <v>7.2</v>
      </c>
      <c r="AC90" s="116">
        <f t="shared" si="86"/>
        <v>435.6</v>
      </c>
      <c r="AD90" s="116">
        <v>0</v>
      </c>
      <c r="AE90" s="116">
        <f t="shared" si="111"/>
        <v>4.666666666666667</v>
      </c>
      <c r="AF90" s="116">
        <v>5.6</v>
      </c>
      <c r="AG90" s="116">
        <f t="shared" si="87"/>
        <v>0</v>
      </c>
      <c r="AH90" s="117">
        <v>244.1</v>
      </c>
      <c r="AI90" s="116">
        <f t="shared" si="112"/>
        <v>8.3333333333333339</v>
      </c>
      <c r="AJ90" s="116">
        <v>10</v>
      </c>
      <c r="AK90" s="116">
        <f t="shared" si="88"/>
        <v>2441</v>
      </c>
      <c r="AL90" s="117">
        <v>25</v>
      </c>
      <c r="AM90" s="116">
        <f t="shared" si="116"/>
        <v>12.750000000000002</v>
      </c>
      <c r="AN90" s="116">
        <v>15.3</v>
      </c>
      <c r="AO90" s="116">
        <f t="shared" si="89"/>
        <v>382.5</v>
      </c>
      <c r="AP90" s="116">
        <f t="shared" si="113"/>
        <v>6102.6750000000002</v>
      </c>
      <c r="AQ90" s="116">
        <f t="shared" si="92"/>
        <v>7323.21</v>
      </c>
      <c r="AR90" s="117">
        <v>634</v>
      </c>
      <c r="AS90" s="116" t="s">
        <v>210</v>
      </c>
      <c r="AT90" s="118">
        <v>0</v>
      </c>
      <c r="AU90" s="118">
        <f t="shared" si="114"/>
        <v>6.1000000000000005</v>
      </c>
      <c r="AV90" s="144">
        <v>7.32</v>
      </c>
      <c r="AW90" s="118">
        <f t="shared" si="90"/>
        <v>3867.4000000000005</v>
      </c>
      <c r="AX90" s="118">
        <f t="shared" si="91"/>
        <v>4640.88</v>
      </c>
      <c r="AY90" s="119">
        <f t="shared" si="93"/>
        <v>9970.0750000000007</v>
      </c>
      <c r="AZ90" s="120">
        <f t="shared" si="93"/>
        <v>11964.09</v>
      </c>
      <c r="BA90" s="9"/>
      <c r="BB90" s="9"/>
      <c r="BC90" s="9"/>
      <c r="BD90" s="9"/>
      <c r="BE90" s="37"/>
      <c r="BF90" s="37"/>
      <c r="BG90" s="35"/>
      <c r="BH90" s="35"/>
      <c r="BI90" s="35"/>
      <c r="BJ90" s="35"/>
      <c r="BK90" s="35"/>
      <c r="BL90" s="35"/>
      <c r="BM90" s="35"/>
      <c r="BN90" s="35"/>
      <c r="BO90" s="35"/>
      <c r="BP90" s="35"/>
      <c r="BQ90" s="35"/>
      <c r="BR90" s="35"/>
      <c r="BS90" s="35"/>
      <c r="BT90" s="35"/>
      <c r="BU90" s="35"/>
      <c r="BV90" s="35"/>
      <c r="BW90" s="35"/>
      <c r="BX90" s="35"/>
      <c r="BY90" s="35"/>
      <c r="BZ90" s="35"/>
      <c r="CA90" s="35"/>
      <c r="CB90" s="35"/>
      <c r="CC90" s="35"/>
      <c r="CD90" s="35"/>
      <c r="CE90" s="35"/>
      <c r="CF90" s="35"/>
      <c r="CG90" s="35"/>
      <c r="CH90" s="35"/>
      <c r="CI90" s="35"/>
      <c r="CJ90" s="35"/>
      <c r="CK90" s="35"/>
      <c r="CL90" s="35"/>
      <c r="CM90" s="35"/>
      <c r="CN90" s="35"/>
      <c r="CO90" s="35"/>
    </row>
    <row r="91" spans="1:93" s="4" customFormat="1" ht="409.5" outlineLevel="1" x14ac:dyDescent="0.25">
      <c r="A91" s="111">
        <f t="shared" si="121"/>
        <v>68</v>
      </c>
      <c r="B91" s="112" t="s">
        <v>177</v>
      </c>
      <c r="C91" s="113" t="s">
        <v>103</v>
      </c>
      <c r="D91" s="114" t="s">
        <v>19</v>
      </c>
      <c r="E91" s="115">
        <f t="shared" si="115"/>
        <v>58.71</v>
      </c>
      <c r="F91" s="116">
        <v>0</v>
      </c>
      <c r="G91" s="116">
        <f t="shared" si="106"/>
        <v>16.666666666666668</v>
      </c>
      <c r="H91" s="116">
        <v>20</v>
      </c>
      <c r="I91" s="116">
        <f t="shared" si="81"/>
        <v>0</v>
      </c>
      <c r="J91" s="115">
        <v>0</v>
      </c>
      <c r="K91" s="116">
        <f t="shared" si="107"/>
        <v>12.916666666666668</v>
      </c>
      <c r="L91" s="116">
        <v>15.5</v>
      </c>
      <c r="M91" s="116">
        <f t="shared" si="82"/>
        <v>0</v>
      </c>
      <c r="N91" s="117">
        <v>58.71</v>
      </c>
      <c r="O91" s="116">
        <f t="shared" si="108"/>
        <v>4.666666666666667</v>
      </c>
      <c r="P91" s="116">
        <v>5.6</v>
      </c>
      <c r="Q91" s="116">
        <f t="shared" si="83"/>
        <v>328.77600000000001</v>
      </c>
      <c r="R91" s="115">
        <v>0</v>
      </c>
      <c r="S91" s="116">
        <f t="shared" si="117"/>
        <v>15.583333333333334</v>
      </c>
      <c r="T91" s="116">
        <v>18.7</v>
      </c>
      <c r="U91" s="116">
        <f t="shared" si="84"/>
        <v>0</v>
      </c>
      <c r="V91" s="116">
        <v>0</v>
      </c>
      <c r="W91" s="116">
        <f t="shared" si="109"/>
        <v>6.416666666666667</v>
      </c>
      <c r="X91" s="116">
        <v>7.7</v>
      </c>
      <c r="Y91" s="116">
        <f t="shared" si="85"/>
        <v>0</v>
      </c>
      <c r="Z91" s="115">
        <v>0</v>
      </c>
      <c r="AA91" s="116">
        <f t="shared" si="110"/>
        <v>6</v>
      </c>
      <c r="AB91" s="116">
        <v>7.2</v>
      </c>
      <c r="AC91" s="116">
        <f t="shared" si="86"/>
        <v>0</v>
      </c>
      <c r="AD91" s="116">
        <v>0</v>
      </c>
      <c r="AE91" s="116">
        <f t="shared" si="111"/>
        <v>4.666666666666667</v>
      </c>
      <c r="AF91" s="116">
        <v>5.6</v>
      </c>
      <c r="AG91" s="116">
        <f t="shared" si="87"/>
        <v>0</v>
      </c>
      <c r="AH91" s="117">
        <v>0</v>
      </c>
      <c r="AI91" s="116">
        <f t="shared" si="112"/>
        <v>8.3333333333333339</v>
      </c>
      <c r="AJ91" s="116">
        <v>10</v>
      </c>
      <c r="AK91" s="116">
        <f t="shared" si="88"/>
        <v>0</v>
      </c>
      <c r="AL91" s="117">
        <v>0</v>
      </c>
      <c r="AM91" s="116">
        <f t="shared" si="116"/>
        <v>12.750000000000002</v>
      </c>
      <c r="AN91" s="116">
        <v>15.3</v>
      </c>
      <c r="AO91" s="116">
        <f t="shared" si="89"/>
        <v>0</v>
      </c>
      <c r="AP91" s="116">
        <f t="shared" si="113"/>
        <v>273.98</v>
      </c>
      <c r="AQ91" s="116">
        <f t="shared" si="92"/>
        <v>328.77600000000001</v>
      </c>
      <c r="AR91" s="117">
        <v>0</v>
      </c>
      <c r="AS91" s="116" t="s">
        <v>210</v>
      </c>
      <c r="AT91" s="118">
        <v>0</v>
      </c>
      <c r="AU91" s="118">
        <f t="shared" si="114"/>
        <v>6.1000000000000005</v>
      </c>
      <c r="AV91" s="144">
        <v>7.32</v>
      </c>
      <c r="AW91" s="118">
        <f t="shared" si="90"/>
        <v>0</v>
      </c>
      <c r="AX91" s="118">
        <f t="shared" si="91"/>
        <v>0</v>
      </c>
      <c r="AY91" s="119">
        <f t="shared" si="93"/>
        <v>273.98</v>
      </c>
      <c r="AZ91" s="120">
        <f t="shared" si="93"/>
        <v>328.77600000000001</v>
      </c>
      <c r="BA91" s="9"/>
      <c r="BB91" s="9"/>
      <c r="BC91" s="9"/>
      <c r="BD91" s="9"/>
      <c r="BE91" s="37"/>
      <c r="BF91" s="37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BY91" s="35"/>
      <c r="BZ91" s="35"/>
      <c r="CA91" s="35"/>
      <c r="CB91" s="35"/>
      <c r="CC91" s="35"/>
      <c r="CD91" s="35"/>
      <c r="CE91" s="35"/>
      <c r="CF91" s="35"/>
      <c r="CG91" s="35"/>
      <c r="CH91" s="35"/>
      <c r="CI91" s="35"/>
      <c r="CJ91" s="35"/>
      <c r="CK91" s="35"/>
      <c r="CL91" s="35"/>
      <c r="CM91" s="35"/>
      <c r="CN91" s="35"/>
      <c r="CO91" s="35"/>
    </row>
    <row r="92" spans="1:93" s="4" customFormat="1" ht="366" outlineLevel="1" x14ac:dyDescent="0.25">
      <c r="A92" s="111">
        <f t="shared" si="121"/>
        <v>69</v>
      </c>
      <c r="B92" s="112" t="s">
        <v>177</v>
      </c>
      <c r="C92" s="113" t="s">
        <v>104</v>
      </c>
      <c r="D92" s="114" t="s">
        <v>19</v>
      </c>
      <c r="E92" s="115">
        <f t="shared" si="115"/>
        <v>325.8</v>
      </c>
      <c r="F92" s="116">
        <v>0</v>
      </c>
      <c r="G92" s="116">
        <f t="shared" si="106"/>
        <v>16.666666666666668</v>
      </c>
      <c r="H92" s="116">
        <v>20</v>
      </c>
      <c r="I92" s="116">
        <f t="shared" si="81"/>
        <v>0</v>
      </c>
      <c r="J92" s="115">
        <v>168.9</v>
      </c>
      <c r="K92" s="116">
        <f t="shared" si="107"/>
        <v>12.916666666666668</v>
      </c>
      <c r="L92" s="116">
        <v>15.5</v>
      </c>
      <c r="M92" s="116">
        <f t="shared" si="82"/>
        <v>2617.9500000000003</v>
      </c>
      <c r="N92" s="117">
        <v>0</v>
      </c>
      <c r="O92" s="116">
        <f t="shared" si="108"/>
        <v>4.666666666666667</v>
      </c>
      <c r="P92" s="116">
        <v>5.6</v>
      </c>
      <c r="Q92" s="116">
        <f t="shared" si="83"/>
        <v>0</v>
      </c>
      <c r="R92" s="115">
        <v>0</v>
      </c>
      <c r="S92" s="116">
        <f t="shared" si="117"/>
        <v>15.583333333333334</v>
      </c>
      <c r="T92" s="116">
        <v>18.7</v>
      </c>
      <c r="U92" s="116">
        <f t="shared" si="84"/>
        <v>0</v>
      </c>
      <c r="V92" s="116">
        <v>0</v>
      </c>
      <c r="W92" s="116">
        <f t="shared" si="109"/>
        <v>6.416666666666667</v>
      </c>
      <c r="X92" s="116">
        <v>7.7</v>
      </c>
      <c r="Y92" s="116">
        <f t="shared" si="85"/>
        <v>0</v>
      </c>
      <c r="Z92" s="115">
        <v>60.1</v>
      </c>
      <c r="AA92" s="116">
        <f t="shared" si="110"/>
        <v>6</v>
      </c>
      <c r="AB92" s="116">
        <v>7.2</v>
      </c>
      <c r="AC92" s="116">
        <f t="shared" si="86"/>
        <v>432.72</v>
      </c>
      <c r="AD92" s="116">
        <v>0</v>
      </c>
      <c r="AE92" s="116">
        <f t="shared" si="111"/>
        <v>4.666666666666667</v>
      </c>
      <c r="AF92" s="116">
        <v>5.6</v>
      </c>
      <c r="AG92" s="116">
        <f t="shared" si="87"/>
        <v>0</v>
      </c>
      <c r="AH92" s="117">
        <v>79.7</v>
      </c>
      <c r="AI92" s="116">
        <f t="shared" si="112"/>
        <v>8.3333333333333339</v>
      </c>
      <c r="AJ92" s="116">
        <v>10</v>
      </c>
      <c r="AK92" s="116">
        <f t="shared" si="88"/>
        <v>797</v>
      </c>
      <c r="AL92" s="117">
        <v>17.100000000000001</v>
      </c>
      <c r="AM92" s="116">
        <f t="shared" si="116"/>
        <v>12.750000000000002</v>
      </c>
      <c r="AN92" s="116">
        <v>15.3</v>
      </c>
      <c r="AO92" s="116">
        <f t="shared" si="89"/>
        <v>261.63000000000005</v>
      </c>
      <c r="AP92" s="116">
        <f t="shared" si="113"/>
        <v>3424.416666666667</v>
      </c>
      <c r="AQ92" s="116">
        <f t="shared" si="92"/>
        <v>4109.3</v>
      </c>
      <c r="AR92" s="117">
        <v>710</v>
      </c>
      <c r="AS92" s="116" t="s">
        <v>210</v>
      </c>
      <c r="AT92" s="118">
        <v>0</v>
      </c>
      <c r="AU92" s="118">
        <f t="shared" si="114"/>
        <v>6.1000000000000005</v>
      </c>
      <c r="AV92" s="144">
        <v>7.32</v>
      </c>
      <c r="AW92" s="118">
        <f t="shared" si="90"/>
        <v>4331</v>
      </c>
      <c r="AX92" s="118">
        <f t="shared" si="91"/>
        <v>5197.2</v>
      </c>
      <c r="AY92" s="119">
        <f t="shared" si="93"/>
        <v>7755.416666666667</v>
      </c>
      <c r="AZ92" s="120">
        <f t="shared" si="93"/>
        <v>9306.5</v>
      </c>
      <c r="BA92" s="9"/>
      <c r="BB92" s="9"/>
      <c r="BC92" s="9"/>
      <c r="BD92" s="9"/>
      <c r="BE92" s="37"/>
      <c r="BF92" s="37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  <c r="CG92" s="35"/>
      <c r="CH92" s="35"/>
      <c r="CI92" s="35"/>
      <c r="CJ92" s="35"/>
      <c r="CK92" s="35"/>
      <c r="CL92" s="35"/>
      <c r="CM92" s="35"/>
      <c r="CN92" s="35"/>
      <c r="CO92" s="35"/>
    </row>
    <row r="93" spans="1:93" s="26" customFormat="1" ht="45.75" outlineLevel="1" x14ac:dyDescent="0.3">
      <c r="A93" s="162" t="s">
        <v>63</v>
      </c>
      <c r="B93" s="163"/>
      <c r="C93" s="163"/>
      <c r="D93" s="131"/>
      <c r="E93" s="115"/>
      <c r="F93" s="131"/>
      <c r="G93" s="116"/>
      <c r="H93" s="131"/>
      <c r="I93" s="131"/>
      <c r="J93" s="131"/>
      <c r="K93" s="116"/>
      <c r="L93" s="116"/>
      <c r="M93" s="131"/>
      <c r="N93" s="131"/>
      <c r="O93" s="116"/>
      <c r="P93" s="116"/>
      <c r="Q93" s="131"/>
      <c r="R93" s="131"/>
      <c r="S93" s="116"/>
      <c r="T93" s="116"/>
      <c r="U93" s="131"/>
      <c r="V93" s="131"/>
      <c r="W93" s="116"/>
      <c r="X93" s="116"/>
      <c r="Y93" s="131"/>
      <c r="Z93" s="131"/>
      <c r="AA93" s="116"/>
      <c r="AB93" s="116"/>
      <c r="AC93" s="131"/>
      <c r="AD93" s="131"/>
      <c r="AE93" s="116"/>
      <c r="AF93" s="116"/>
      <c r="AG93" s="131"/>
      <c r="AH93" s="131"/>
      <c r="AI93" s="116"/>
      <c r="AJ93" s="116"/>
      <c r="AK93" s="131"/>
      <c r="AL93" s="131"/>
      <c r="AM93" s="116"/>
      <c r="AN93" s="116"/>
      <c r="AO93" s="131"/>
      <c r="AP93" s="116"/>
      <c r="AQ93" s="129"/>
      <c r="AR93" s="131"/>
      <c r="AS93" s="116"/>
      <c r="AT93" s="126"/>
      <c r="AU93" s="118"/>
      <c r="AV93" s="144"/>
      <c r="AW93" s="126"/>
      <c r="AX93" s="126"/>
      <c r="AY93" s="127"/>
      <c r="AZ93" s="128"/>
      <c r="BA93" s="57"/>
      <c r="BB93" s="25"/>
      <c r="BC93" s="25"/>
      <c r="BD93" s="25"/>
      <c r="BE93" s="25"/>
      <c r="BF93" s="25"/>
      <c r="CJ93" s="36"/>
      <c r="CK93" s="36"/>
      <c r="CL93" s="36"/>
      <c r="CM93" s="36"/>
      <c r="CN93" s="36"/>
      <c r="CO93" s="36"/>
    </row>
    <row r="94" spans="1:93" s="29" customFormat="1" ht="45.75" outlineLevel="1" x14ac:dyDescent="0.3">
      <c r="A94" s="162" t="s">
        <v>105</v>
      </c>
      <c r="B94" s="163"/>
      <c r="C94" s="163"/>
      <c r="D94" s="131"/>
      <c r="E94" s="115"/>
      <c r="F94" s="131"/>
      <c r="G94" s="116"/>
      <c r="H94" s="131"/>
      <c r="I94" s="131"/>
      <c r="J94" s="131"/>
      <c r="K94" s="116"/>
      <c r="L94" s="116"/>
      <c r="M94" s="131"/>
      <c r="N94" s="131"/>
      <c r="O94" s="116"/>
      <c r="P94" s="116"/>
      <c r="Q94" s="131"/>
      <c r="R94" s="131"/>
      <c r="S94" s="116"/>
      <c r="T94" s="116"/>
      <c r="U94" s="131"/>
      <c r="V94" s="131"/>
      <c r="W94" s="116"/>
      <c r="X94" s="116"/>
      <c r="Y94" s="131"/>
      <c r="Z94" s="131"/>
      <c r="AA94" s="116"/>
      <c r="AB94" s="116"/>
      <c r="AC94" s="131"/>
      <c r="AD94" s="131"/>
      <c r="AE94" s="116"/>
      <c r="AF94" s="116"/>
      <c r="AG94" s="131"/>
      <c r="AH94" s="131"/>
      <c r="AI94" s="116"/>
      <c r="AJ94" s="116"/>
      <c r="AK94" s="131"/>
      <c r="AL94" s="131"/>
      <c r="AM94" s="116"/>
      <c r="AN94" s="116"/>
      <c r="AO94" s="131"/>
      <c r="AP94" s="116"/>
      <c r="AQ94" s="129"/>
      <c r="AR94" s="131"/>
      <c r="AS94" s="116"/>
      <c r="AT94" s="126"/>
      <c r="AU94" s="118"/>
      <c r="AV94" s="144"/>
      <c r="AW94" s="126"/>
      <c r="AX94" s="126"/>
      <c r="AY94" s="133"/>
      <c r="AZ94" s="130"/>
      <c r="BA94" s="28"/>
      <c r="BB94" s="28"/>
      <c r="BC94" s="28"/>
      <c r="BD94" s="28"/>
      <c r="BE94" s="28"/>
      <c r="BF94" s="28"/>
      <c r="CJ94" s="85"/>
      <c r="CK94" s="85"/>
      <c r="CL94" s="85"/>
      <c r="CM94" s="85"/>
      <c r="CN94" s="85"/>
      <c r="CO94" s="85"/>
    </row>
    <row r="95" spans="1:93" s="4" customFormat="1" ht="366" outlineLevel="1" x14ac:dyDescent="0.25">
      <c r="A95" s="111">
        <f>A92+1</f>
        <v>70</v>
      </c>
      <c r="B95" s="112" t="s">
        <v>178</v>
      </c>
      <c r="C95" s="113" t="s">
        <v>106</v>
      </c>
      <c r="D95" s="114" t="s">
        <v>19</v>
      </c>
      <c r="E95" s="115">
        <f t="shared" si="115"/>
        <v>786.12</v>
      </c>
      <c r="F95" s="116">
        <v>0</v>
      </c>
      <c r="G95" s="116">
        <f t="shared" si="106"/>
        <v>16.666666666666668</v>
      </c>
      <c r="H95" s="116">
        <v>20</v>
      </c>
      <c r="I95" s="116">
        <f t="shared" si="81"/>
        <v>0</v>
      </c>
      <c r="J95" s="115">
        <v>405.9</v>
      </c>
      <c r="K95" s="116">
        <f t="shared" si="107"/>
        <v>12.916666666666668</v>
      </c>
      <c r="L95" s="116">
        <v>15.5</v>
      </c>
      <c r="M95" s="116">
        <f t="shared" si="82"/>
        <v>6291.45</v>
      </c>
      <c r="N95" s="117">
        <v>39.5</v>
      </c>
      <c r="O95" s="116">
        <f t="shared" si="108"/>
        <v>4.666666666666667</v>
      </c>
      <c r="P95" s="116">
        <v>5.6</v>
      </c>
      <c r="Q95" s="116">
        <f t="shared" si="83"/>
        <v>221.2</v>
      </c>
      <c r="R95" s="115">
        <v>0</v>
      </c>
      <c r="S95" s="116">
        <f t="shared" si="117"/>
        <v>15.583333333333334</v>
      </c>
      <c r="T95" s="116">
        <v>18.7</v>
      </c>
      <c r="U95" s="116">
        <f t="shared" si="84"/>
        <v>0</v>
      </c>
      <c r="V95" s="116">
        <v>32.4</v>
      </c>
      <c r="W95" s="116">
        <f t="shared" si="109"/>
        <v>6.416666666666667</v>
      </c>
      <c r="X95" s="116">
        <v>7.7</v>
      </c>
      <c r="Y95" s="116">
        <f t="shared" si="85"/>
        <v>249.48</v>
      </c>
      <c r="Z95" s="115">
        <f>201.22+18.8</f>
        <v>220.02</v>
      </c>
      <c r="AA95" s="116">
        <f t="shared" si="110"/>
        <v>6</v>
      </c>
      <c r="AB95" s="116">
        <v>7.2</v>
      </c>
      <c r="AC95" s="116">
        <f t="shared" si="86"/>
        <v>1584.144</v>
      </c>
      <c r="AD95" s="116">
        <v>0</v>
      </c>
      <c r="AE95" s="116">
        <f t="shared" si="111"/>
        <v>4.666666666666667</v>
      </c>
      <c r="AF95" s="116">
        <v>5.6</v>
      </c>
      <c r="AG95" s="116">
        <f t="shared" si="87"/>
        <v>0</v>
      </c>
      <c r="AH95" s="117">
        <v>77.2</v>
      </c>
      <c r="AI95" s="116">
        <f t="shared" si="112"/>
        <v>8.3333333333333339</v>
      </c>
      <c r="AJ95" s="116">
        <v>10</v>
      </c>
      <c r="AK95" s="116">
        <f t="shared" si="88"/>
        <v>772</v>
      </c>
      <c r="AL95" s="117">
        <v>11.1</v>
      </c>
      <c r="AM95" s="116">
        <f t="shared" si="116"/>
        <v>12.750000000000002</v>
      </c>
      <c r="AN95" s="116">
        <v>15.3</v>
      </c>
      <c r="AO95" s="116">
        <f t="shared" si="89"/>
        <v>169.83</v>
      </c>
      <c r="AP95" s="116">
        <f t="shared" si="113"/>
        <v>7740.0866666666661</v>
      </c>
      <c r="AQ95" s="116">
        <f t="shared" si="92"/>
        <v>9288.1039999999994</v>
      </c>
      <c r="AR95" s="117">
        <v>425</v>
      </c>
      <c r="AS95" s="116" t="s">
        <v>210</v>
      </c>
      <c r="AT95" s="118">
        <v>0</v>
      </c>
      <c r="AU95" s="118">
        <f t="shared" si="114"/>
        <v>6.1000000000000005</v>
      </c>
      <c r="AV95" s="144">
        <v>7.32</v>
      </c>
      <c r="AW95" s="118">
        <f t="shared" si="90"/>
        <v>2592.5</v>
      </c>
      <c r="AX95" s="118">
        <f t="shared" si="91"/>
        <v>3111</v>
      </c>
      <c r="AY95" s="119">
        <f t="shared" si="93"/>
        <v>10332.586666666666</v>
      </c>
      <c r="AZ95" s="120">
        <f t="shared" si="93"/>
        <v>12399.103999999999</v>
      </c>
      <c r="BA95" s="9"/>
      <c r="BB95" s="9"/>
      <c r="BC95" s="9"/>
      <c r="BD95" s="9"/>
      <c r="BE95" s="37"/>
      <c r="BF95" s="37"/>
      <c r="BG95" s="35"/>
      <c r="BH95" s="35"/>
      <c r="BI95" s="35"/>
      <c r="BJ95" s="35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5"/>
      <c r="CO95" s="35"/>
    </row>
    <row r="96" spans="1:93" s="4" customFormat="1" ht="274.5" outlineLevel="1" x14ac:dyDescent="0.25">
      <c r="A96" s="111">
        <v>71</v>
      </c>
      <c r="B96" s="112" t="s">
        <v>178</v>
      </c>
      <c r="C96" s="113" t="s">
        <v>107</v>
      </c>
      <c r="D96" s="114" t="s">
        <v>19</v>
      </c>
      <c r="E96" s="115">
        <f t="shared" si="115"/>
        <v>181.8</v>
      </c>
      <c r="F96" s="116">
        <v>0</v>
      </c>
      <c r="G96" s="116">
        <f t="shared" si="106"/>
        <v>16.666666666666668</v>
      </c>
      <c r="H96" s="116">
        <v>20</v>
      </c>
      <c r="I96" s="116">
        <f t="shared" si="81"/>
        <v>0</v>
      </c>
      <c r="J96" s="115">
        <v>15.6</v>
      </c>
      <c r="K96" s="116">
        <f t="shared" si="107"/>
        <v>12.916666666666668</v>
      </c>
      <c r="L96" s="116">
        <v>15.5</v>
      </c>
      <c r="M96" s="116">
        <f t="shared" si="82"/>
        <v>241.79999999999998</v>
      </c>
      <c r="N96" s="117">
        <v>77.900000000000006</v>
      </c>
      <c r="O96" s="116">
        <f t="shared" si="108"/>
        <v>4.666666666666667</v>
      </c>
      <c r="P96" s="116">
        <v>5.6</v>
      </c>
      <c r="Q96" s="116">
        <f t="shared" si="83"/>
        <v>436.24</v>
      </c>
      <c r="R96" s="115">
        <v>0</v>
      </c>
      <c r="S96" s="116">
        <f t="shared" si="117"/>
        <v>15.583333333333334</v>
      </c>
      <c r="T96" s="116">
        <v>18.7</v>
      </c>
      <c r="U96" s="116">
        <f t="shared" si="84"/>
        <v>0</v>
      </c>
      <c r="V96" s="116">
        <v>0</v>
      </c>
      <c r="W96" s="116">
        <f t="shared" si="109"/>
        <v>6.416666666666667</v>
      </c>
      <c r="X96" s="116">
        <v>7.7</v>
      </c>
      <c r="Y96" s="116">
        <f t="shared" si="85"/>
        <v>0</v>
      </c>
      <c r="Z96" s="115">
        <v>86.5</v>
      </c>
      <c r="AA96" s="116">
        <f t="shared" si="110"/>
        <v>6</v>
      </c>
      <c r="AB96" s="116">
        <v>7.2</v>
      </c>
      <c r="AC96" s="116">
        <f t="shared" si="86"/>
        <v>622.80000000000007</v>
      </c>
      <c r="AD96" s="116">
        <v>0</v>
      </c>
      <c r="AE96" s="116">
        <f t="shared" si="111"/>
        <v>4.666666666666667</v>
      </c>
      <c r="AF96" s="116">
        <v>5.6</v>
      </c>
      <c r="AG96" s="116">
        <f t="shared" si="87"/>
        <v>0</v>
      </c>
      <c r="AH96" s="117">
        <v>0</v>
      </c>
      <c r="AI96" s="116">
        <f t="shared" si="112"/>
        <v>8.3333333333333339</v>
      </c>
      <c r="AJ96" s="116">
        <v>10</v>
      </c>
      <c r="AK96" s="116">
        <f t="shared" si="88"/>
        <v>0</v>
      </c>
      <c r="AL96" s="117">
        <v>1.8</v>
      </c>
      <c r="AM96" s="116">
        <f t="shared" si="116"/>
        <v>12.750000000000002</v>
      </c>
      <c r="AN96" s="116">
        <v>15.3</v>
      </c>
      <c r="AO96" s="116">
        <f t="shared" si="89"/>
        <v>27.540000000000003</v>
      </c>
      <c r="AP96" s="116">
        <f t="shared" si="113"/>
        <v>1106.9833333333336</v>
      </c>
      <c r="AQ96" s="116">
        <f t="shared" si="92"/>
        <v>1328.38</v>
      </c>
      <c r="AR96" s="117">
        <v>200</v>
      </c>
      <c r="AS96" s="116" t="s">
        <v>210</v>
      </c>
      <c r="AT96" s="118">
        <v>0</v>
      </c>
      <c r="AU96" s="118">
        <f t="shared" si="114"/>
        <v>6.1000000000000005</v>
      </c>
      <c r="AV96" s="144">
        <v>7.32</v>
      </c>
      <c r="AW96" s="118">
        <f t="shared" si="90"/>
        <v>1220</v>
      </c>
      <c r="AX96" s="118">
        <f t="shared" si="91"/>
        <v>1464</v>
      </c>
      <c r="AY96" s="119">
        <f t="shared" si="93"/>
        <v>2326.9833333333336</v>
      </c>
      <c r="AZ96" s="120">
        <f t="shared" si="93"/>
        <v>2792.38</v>
      </c>
      <c r="BA96" s="9"/>
      <c r="BB96" s="9"/>
      <c r="BC96" s="9"/>
      <c r="BD96" s="9"/>
      <c r="BE96" s="37"/>
      <c r="BF96" s="37"/>
      <c r="BG96" s="35"/>
      <c r="BH96" s="35"/>
      <c r="BI96" s="35"/>
      <c r="BJ96" s="35"/>
      <c r="BK96" s="35"/>
      <c r="BL96" s="35"/>
      <c r="BM96" s="35"/>
      <c r="BN96" s="35"/>
      <c r="BO96" s="35"/>
      <c r="BP96" s="35"/>
      <c r="BQ96" s="35"/>
      <c r="BR96" s="35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5"/>
      <c r="CO96" s="35"/>
    </row>
    <row r="97" spans="1:93" s="4" customFormat="1" ht="366" outlineLevel="1" x14ac:dyDescent="0.25">
      <c r="A97" s="111">
        <f t="shared" ref="A97:A99" si="122">A96+1</f>
        <v>72</v>
      </c>
      <c r="B97" s="112" t="s">
        <v>177</v>
      </c>
      <c r="C97" s="113" t="s">
        <v>108</v>
      </c>
      <c r="D97" s="114" t="s">
        <v>19</v>
      </c>
      <c r="E97" s="115">
        <f t="shared" si="115"/>
        <v>700.25</v>
      </c>
      <c r="F97" s="116">
        <v>0</v>
      </c>
      <c r="G97" s="116">
        <f t="shared" si="106"/>
        <v>16.666666666666668</v>
      </c>
      <c r="H97" s="116">
        <v>20</v>
      </c>
      <c r="I97" s="116">
        <f t="shared" si="81"/>
        <v>0</v>
      </c>
      <c r="J97" s="115">
        <v>396.5</v>
      </c>
      <c r="K97" s="116">
        <f t="shared" si="107"/>
        <v>12.916666666666668</v>
      </c>
      <c r="L97" s="116">
        <v>15.5</v>
      </c>
      <c r="M97" s="116">
        <f t="shared" si="82"/>
        <v>6145.75</v>
      </c>
      <c r="N97" s="117">
        <v>58</v>
      </c>
      <c r="O97" s="116">
        <f t="shared" si="108"/>
        <v>4.666666666666667</v>
      </c>
      <c r="P97" s="116">
        <v>5.6</v>
      </c>
      <c r="Q97" s="116">
        <f t="shared" si="83"/>
        <v>324.79999999999995</v>
      </c>
      <c r="R97" s="115">
        <v>0</v>
      </c>
      <c r="S97" s="116">
        <f t="shared" si="117"/>
        <v>15.583333333333334</v>
      </c>
      <c r="T97" s="116">
        <v>18.7</v>
      </c>
      <c r="U97" s="116">
        <f t="shared" si="84"/>
        <v>0</v>
      </c>
      <c r="V97" s="116">
        <v>22.9</v>
      </c>
      <c r="W97" s="116">
        <f t="shared" si="109"/>
        <v>6.416666666666667</v>
      </c>
      <c r="X97" s="116">
        <v>7.7</v>
      </c>
      <c r="Y97" s="116">
        <f t="shared" si="85"/>
        <v>176.32999999999998</v>
      </c>
      <c r="Z97" s="115">
        <v>201.65</v>
      </c>
      <c r="AA97" s="116">
        <f t="shared" si="110"/>
        <v>6</v>
      </c>
      <c r="AB97" s="116">
        <v>7.2</v>
      </c>
      <c r="AC97" s="116">
        <f t="shared" si="86"/>
        <v>1451.88</v>
      </c>
      <c r="AD97" s="116">
        <v>0</v>
      </c>
      <c r="AE97" s="116">
        <f t="shared" si="111"/>
        <v>4.666666666666667</v>
      </c>
      <c r="AF97" s="116">
        <v>5.6</v>
      </c>
      <c r="AG97" s="116">
        <f t="shared" si="87"/>
        <v>0</v>
      </c>
      <c r="AH97" s="117">
        <v>0</v>
      </c>
      <c r="AI97" s="116">
        <f t="shared" si="112"/>
        <v>8.3333333333333339</v>
      </c>
      <c r="AJ97" s="116">
        <v>10</v>
      </c>
      <c r="AK97" s="116">
        <f t="shared" si="88"/>
        <v>0</v>
      </c>
      <c r="AL97" s="117">
        <v>21.2</v>
      </c>
      <c r="AM97" s="116">
        <f t="shared" si="116"/>
        <v>12.750000000000002</v>
      </c>
      <c r="AN97" s="116">
        <v>15.3</v>
      </c>
      <c r="AO97" s="116">
        <f t="shared" si="89"/>
        <v>324.36</v>
      </c>
      <c r="AP97" s="116">
        <f t="shared" si="113"/>
        <v>7019.2666666666673</v>
      </c>
      <c r="AQ97" s="116">
        <f t="shared" si="92"/>
        <v>8423.1200000000008</v>
      </c>
      <c r="AR97" s="117">
        <f>125+125</f>
        <v>250</v>
      </c>
      <c r="AS97" s="116" t="s">
        <v>210</v>
      </c>
      <c r="AT97" s="118">
        <v>0</v>
      </c>
      <c r="AU97" s="118">
        <f t="shared" si="114"/>
        <v>6.1000000000000005</v>
      </c>
      <c r="AV97" s="144">
        <v>7.32</v>
      </c>
      <c r="AW97" s="118">
        <f t="shared" si="90"/>
        <v>1525.0000000000002</v>
      </c>
      <c r="AX97" s="118">
        <f t="shared" si="91"/>
        <v>1830</v>
      </c>
      <c r="AY97" s="119">
        <f t="shared" si="93"/>
        <v>8544.2666666666682</v>
      </c>
      <c r="AZ97" s="120">
        <f t="shared" si="93"/>
        <v>10253.120000000001</v>
      </c>
      <c r="BA97" s="9"/>
      <c r="BB97" s="9"/>
      <c r="BC97" s="9"/>
      <c r="BD97" s="9"/>
      <c r="BE97" s="37"/>
      <c r="BF97" s="37"/>
      <c r="BG97" s="35"/>
      <c r="BH97" s="35"/>
      <c r="BI97" s="35"/>
      <c r="BJ97" s="35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  <c r="CO97" s="35"/>
    </row>
    <row r="98" spans="1:93" s="4" customFormat="1" ht="409.5" outlineLevel="1" x14ac:dyDescent="0.25">
      <c r="A98" s="111">
        <f t="shared" si="122"/>
        <v>73</v>
      </c>
      <c r="B98" s="112" t="s">
        <v>177</v>
      </c>
      <c r="C98" s="113" t="s">
        <v>109</v>
      </c>
      <c r="D98" s="114" t="s">
        <v>19</v>
      </c>
      <c r="E98" s="115">
        <f t="shared" si="115"/>
        <v>411.30999999999995</v>
      </c>
      <c r="F98" s="116">
        <v>0</v>
      </c>
      <c r="G98" s="116">
        <f t="shared" si="106"/>
        <v>16.666666666666668</v>
      </c>
      <c r="H98" s="116">
        <v>20</v>
      </c>
      <c r="I98" s="116">
        <f t="shared" si="81"/>
        <v>0</v>
      </c>
      <c r="J98" s="115">
        <v>181.6</v>
      </c>
      <c r="K98" s="116">
        <f t="shared" si="107"/>
        <v>12.916666666666668</v>
      </c>
      <c r="L98" s="116">
        <v>15.5</v>
      </c>
      <c r="M98" s="116">
        <f t="shared" si="82"/>
        <v>2814.7999999999997</v>
      </c>
      <c r="N98" s="117">
        <v>42.5</v>
      </c>
      <c r="O98" s="116">
        <f t="shared" si="108"/>
        <v>4.666666666666667</v>
      </c>
      <c r="P98" s="116">
        <v>5.6</v>
      </c>
      <c r="Q98" s="116">
        <f t="shared" si="83"/>
        <v>237.99999999999997</v>
      </c>
      <c r="R98" s="115">
        <v>0</v>
      </c>
      <c r="S98" s="116">
        <f t="shared" si="117"/>
        <v>15.583333333333334</v>
      </c>
      <c r="T98" s="116">
        <v>18.7</v>
      </c>
      <c r="U98" s="116">
        <f t="shared" si="84"/>
        <v>0</v>
      </c>
      <c r="V98" s="116">
        <f>10.7</f>
        <v>10.7</v>
      </c>
      <c r="W98" s="116">
        <f t="shared" si="109"/>
        <v>6.416666666666667</v>
      </c>
      <c r="X98" s="116">
        <v>7.7</v>
      </c>
      <c r="Y98" s="116">
        <f t="shared" si="85"/>
        <v>82.39</v>
      </c>
      <c r="Z98" s="115">
        <v>159.51</v>
      </c>
      <c r="AA98" s="116">
        <f t="shared" si="110"/>
        <v>6</v>
      </c>
      <c r="AB98" s="116">
        <v>7.2</v>
      </c>
      <c r="AC98" s="116">
        <f t="shared" si="86"/>
        <v>1148.472</v>
      </c>
      <c r="AD98" s="116">
        <v>0</v>
      </c>
      <c r="AE98" s="116">
        <f t="shared" si="111"/>
        <v>4.666666666666667</v>
      </c>
      <c r="AF98" s="116">
        <v>5.6</v>
      </c>
      <c r="AG98" s="116">
        <f t="shared" si="87"/>
        <v>0</v>
      </c>
      <c r="AH98" s="117">
        <v>0</v>
      </c>
      <c r="AI98" s="116">
        <f t="shared" si="112"/>
        <v>8.3333333333333339</v>
      </c>
      <c r="AJ98" s="116">
        <v>10</v>
      </c>
      <c r="AK98" s="116">
        <f t="shared" si="88"/>
        <v>0</v>
      </c>
      <c r="AL98" s="117">
        <v>17</v>
      </c>
      <c r="AM98" s="116">
        <f t="shared" si="116"/>
        <v>12.750000000000002</v>
      </c>
      <c r="AN98" s="116">
        <v>15.3</v>
      </c>
      <c r="AO98" s="116">
        <f t="shared" si="89"/>
        <v>260.10000000000002</v>
      </c>
      <c r="AP98" s="116">
        <f t="shared" si="113"/>
        <v>3786.4683333333332</v>
      </c>
      <c r="AQ98" s="116">
        <f t="shared" si="92"/>
        <v>4543.7619999999997</v>
      </c>
      <c r="AR98" s="117">
        <f>375+500</f>
        <v>875</v>
      </c>
      <c r="AS98" s="116" t="s">
        <v>210</v>
      </c>
      <c r="AT98" s="118">
        <v>0</v>
      </c>
      <c r="AU98" s="118">
        <f t="shared" si="114"/>
        <v>6.1000000000000005</v>
      </c>
      <c r="AV98" s="144">
        <v>7.32</v>
      </c>
      <c r="AW98" s="118">
        <f t="shared" si="90"/>
        <v>5337.5000000000009</v>
      </c>
      <c r="AX98" s="118">
        <f t="shared" si="91"/>
        <v>6405</v>
      </c>
      <c r="AY98" s="119">
        <f t="shared" si="93"/>
        <v>9123.9683333333342</v>
      </c>
      <c r="AZ98" s="120">
        <f t="shared" si="93"/>
        <v>10948.761999999999</v>
      </c>
      <c r="BA98" s="9"/>
      <c r="BB98" s="9"/>
      <c r="BC98" s="9"/>
      <c r="BD98" s="9"/>
      <c r="BE98" s="37"/>
      <c r="BF98" s="37"/>
      <c r="BG98" s="35"/>
      <c r="BH98" s="35"/>
      <c r="BI98" s="35"/>
      <c r="BJ98" s="35"/>
      <c r="BK98" s="35"/>
      <c r="BL98" s="35"/>
      <c r="BM98" s="35"/>
      <c r="BN98" s="35"/>
      <c r="BO98" s="35"/>
      <c r="BP98" s="35"/>
      <c r="BQ98" s="35"/>
      <c r="BR98" s="35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  <c r="CG98" s="35"/>
      <c r="CH98" s="35"/>
      <c r="CI98" s="35"/>
      <c r="CJ98" s="35"/>
      <c r="CK98" s="35"/>
      <c r="CL98" s="35"/>
      <c r="CM98" s="35"/>
      <c r="CN98" s="35"/>
      <c r="CO98" s="35"/>
    </row>
    <row r="99" spans="1:93" s="4" customFormat="1" ht="366" outlineLevel="1" x14ac:dyDescent="0.25">
      <c r="A99" s="111">
        <f t="shared" si="122"/>
        <v>74</v>
      </c>
      <c r="B99" s="112" t="s">
        <v>177</v>
      </c>
      <c r="C99" s="113" t="s">
        <v>110</v>
      </c>
      <c r="D99" s="114" t="s">
        <v>19</v>
      </c>
      <c r="E99" s="115">
        <f t="shared" si="115"/>
        <v>571.70000000000005</v>
      </c>
      <c r="F99" s="116">
        <v>0</v>
      </c>
      <c r="G99" s="116">
        <f t="shared" si="106"/>
        <v>16.666666666666668</v>
      </c>
      <c r="H99" s="116">
        <v>20</v>
      </c>
      <c r="I99" s="116">
        <f t="shared" si="81"/>
        <v>0</v>
      </c>
      <c r="J99" s="115">
        <v>334</v>
      </c>
      <c r="K99" s="116">
        <f t="shared" si="107"/>
        <v>12.916666666666668</v>
      </c>
      <c r="L99" s="116">
        <v>15.5</v>
      </c>
      <c r="M99" s="116">
        <f t="shared" si="82"/>
        <v>5177</v>
      </c>
      <c r="N99" s="117">
        <v>36.9</v>
      </c>
      <c r="O99" s="116">
        <f t="shared" si="108"/>
        <v>4.666666666666667</v>
      </c>
      <c r="P99" s="116">
        <v>5.6</v>
      </c>
      <c r="Q99" s="116">
        <f t="shared" si="83"/>
        <v>206.64</v>
      </c>
      <c r="R99" s="115">
        <v>0</v>
      </c>
      <c r="S99" s="116">
        <f t="shared" si="117"/>
        <v>15.583333333333334</v>
      </c>
      <c r="T99" s="116">
        <v>18.7</v>
      </c>
      <c r="U99" s="116">
        <f t="shared" si="84"/>
        <v>0</v>
      </c>
      <c r="V99" s="116">
        <v>26.1</v>
      </c>
      <c r="W99" s="116">
        <f t="shared" si="109"/>
        <v>6.416666666666667</v>
      </c>
      <c r="X99" s="116">
        <v>7.7</v>
      </c>
      <c r="Y99" s="116">
        <f t="shared" si="85"/>
        <v>200.97000000000003</v>
      </c>
      <c r="Z99" s="115">
        <v>162.6</v>
      </c>
      <c r="AA99" s="116">
        <f t="shared" si="110"/>
        <v>6</v>
      </c>
      <c r="AB99" s="116">
        <v>7.2</v>
      </c>
      <c r="AC99" s="116">
        <f t="shared" si="86"/>
        <v>1170.72</v>
      </c>
      <c r="AD99" s="116">
        <v>0</v>
      </c>
      <c r="AE99" s="116">
        <f t="shared" si="111"/>
        <v>4.666666666666667</v>
      </c>
      <c r="AF99" s="116">
        <v>5.6</v>
      </c>
      <c r="AG99" s="116">
        <f t="shared" si="87"/>
        <v>0</v>
      </c>
      <c r="AH99" s="117">
        <v>0</v>
      </c>
      <c r="AI99" s="116">
        <f t="shared" si="112"/>
        <v>8.3333333333333339</v>
      </c>
      <c r="AJ99" s="116">
        <v>10</v>
      </c>
      <c r="AK99" s="116">
        <f t="shared" si="88"/>
        <v>0</v>
      </c>
      <c r="AL99" s="117">
        <v>12.1</v>
      </c>
      <c r="AM99" s="116">
        <f t="shared" si="116"/>
        <v>12.750000000000002</v>
      </c>
      <c r="AN99" s="116">
        <v>15.3</v>
      </c>
      <c r="AO99" s="116">
        <f t="shared" si="89"/>
        <v>185.13</v>
      </c>
      <c r="AP99" s="116">
        <f t="shared" si="113"/>
        <v>5783.7166666666681</v>
      </c>
      <c r="AQ99" s="116">
        <f t="shared" si="92"/>
        <v>6940.4600000000009</v>
      </c>
      <c r="AR99" s="117">
        <f>300+200</f>
        <v>500</v>
      </c>
      <c r="AS99" s="116" t="s">
        <v>210</v>
      </c>
      <c r="AT99" s="118">
        <v>0</v>
      </c>
      <c r="AU99" s="118">
        <f t="shared" si="114"/>
        <v>6.1000000000000005</v>
      </c>
      <c r="AV99" s="144">
        <v>7.32</v>
      </c>
      <c r="AW99" s="118">
        <f t="shared" si="90"/>
        <v>3050.0000000000005</v>
      </c>
      <c r="AX99" s="118">
        <f t="shared" si="91"/>
        <v>3660</v>
      </c>
      <c r="AY99" s="119">
        <f t="shared" si="93"/>
        <v>8833.716666666669</v>
      </c>
      <c r="AZ99" s="120">
        <f t="shared" si="93"/>
        <v>10600.460000000001</v>
      </c>
      <c r="BA99" s="9"/>
      <c r="BB99" s="9"/>
      <c r="BC99" s="9"/>
      <c r="BD99" s="9"/>
      <c r="BE99" s="37"/>
      <c r="BF99" s="37"/>
      <c r="BG99" s="35"/>
      <c r="BH99" s="35"/>
      <c r="BI99" s="35"/>
      <c r="BJ99" s="35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  <c r="CG99" s="35"/>
      <c r="CH99" s="35"/>
      <c r="CI99" s="35"/>
      <c r="CJ99" s="35"/>
      <c r="CK99" s="35"/>
      <c r="CL99" s="35"/>
      <c r="CM99" s="35"/>
      <c r="CN99" s="35"/>
      <c r="CO99" s="35"/>
    </row>
    <row r="100" spans="1:93" s="4" customFormat="1" ht="409.5" outlineLevel="1" x14ac:dyDescent="0.25">
      <c r="A100" s="111">
        <v>74</v>
      </c>
      <c r="B100" s="112" t="s">
        <v>177</v>
      </c>
      <c r="C100" s="113" t="s">
        <v>111</v>
      </c>
      <c r="D100" s="114" t="s">
        <v>19</v>
      </c>
      <c r="E100" s="115">
        <f t="shared" si="115"/>
        <v>568.6</v>
      </c>
      <c r="F100" s="116">
        <v>0</v>
      </c>
      <c r="G100" s="116">
        <f t="shared" si="106"/>
        <v>16.666666666666668</v>
      </c>
      <c r="H100" s="116">
        <v>20</v>
      </c>
      <c r="I100" s="116">
        <f t="shared" si="81"/>
        <v>0</v>
      </c>
      <c r="J100" s="115">
        <v>238.6</v>
      </c>
      <c r="K100" s="116">
        <f t="shared" si="107"/>
        <v>12.916666666666668</v>
      </c>
      <c r="L100" s="116">
        <v>15.5</v>
      </c>
      <c r="M100" s="116">
        <f t="shared" si="82"/>
        <v>3698.2999999999997</v>
      </c>
      <c r="N100" s="117">
        <v>32.4</v>
      </c>
      <c r="O100" s="116">
        <f t="shared" si="108"/>
        <v>4.666666666666667</v>
      </c>
      <c r="P100" s="116">
        <v>5.6</v>
      </c>
      <c r="Q100" s="116">
        <f t="shared" si="83"/>
        <v>181.43999999999997</v>
      </c>
      <c r="R100" s="115">
        <v>0</v>
      </c>
      <c r="S100" s="116">
        <f t="shared" si="117"/>
        <v>15.583333333333334</v>
      </c>
      <c r="T100" s="116">
        <v>18.7</v>
      </c>
      <c r="U100" s="116">
        <f t="shared" si="84"/>
        <v>0</v>
      </c>
      <c r="V100" s="116">
        <v>22.8</v>
      </c>
      <c r="W100" s="116">
        <f t="shared" si="109"/>
        <v>6.416666666666667</v>
      </c>
      <c r="X100" s="116">
        <v>7.7</v>
      </c>
      <c r="Y100" s="116">
        <f t="shared" si="85"/>
        <v>175.56</v>
      </c>
      <c r="Z100" s="115">
        <v>237.2</v>
      </c>
      <c r="AA100" s="116">
        <f t="shared" si="110"/>
        <v>6</v>
      </c>
      <c r="AB100" s="116">
        <v>7.2</v>
      </c>
      <c r="AC100" s="116">
        <f t="shared" si="86"/>
        <v>1707.84</v>
      </c>
      <c r="AD100" s="116">
        <v>0</v>
      </c>
      <c r="AE100" s="116">
        <f t="shared" si="111"/>
        <v>4.666666666666667</v>
      </c>
      <c r="AF100" s="116">
        <v>5.6</v>
      </c>
      <c r="AG100" s="116">
        <f t="shared" si="87"/>
        <v>0</v>
      </c>
      <c r="AH100" s="117">
        <v>0</v>
      </c>
      <c r="AI100" s="116">
        <f t="shared" si="112"/>
        <v>8.3333333333333339</v>
      </c>
      <c r="AJ100" s="116">
        <v>10</v>
      </c>
      <c r="AK100" s="116">
        <f t="shared" si="88"/>
        <v>0</v>
      </c>
      <c r="AL100" s="117">
        <v>37.6</v>
      </c>
      <c r="AM100" s="116">
        <f t="shared" si="116"/>
        <v>12.750000000000002</v>
      </c>
      <c r="AN100" s="116">
        <v>15.3</v>
      </c>
      <c r="AO100" s="116">
        <f t="shared" si="89"/>
        <v>575.28000000000009</v>
      </c>
      <c r="AP100" s="116">
        <f t="shared" si="113"/>
        <v>5282.0166666666664</v>
      </c>
      <c r="AQ100" s="116">
        <f t="shared" si="92"/>
        <v>6338.4199999999992</v>
      </c>
      <c r="AR100" s="117">
        <v>200</v>
      </c>
      <c r="AS100" s="116" t="s">
        <v>210</v>
      </c>
      <c r="AT100" s="118">
        <v>0</v>
      </c>
      <c r="AU100" s="118">
        <f t="shared" si="114"/>
        <v>6.1000000000000005</v>
      </c>
      <c r="AV100" s="144">
        <v>7.32</v>
      </c>
      <c r="AW100" s="118">
        <f t="shared" si="90"/>
        <v>1220</v>
      </c>
      <c r="AX100" s="118">
        <f t="shared" si="91"/>
        <v>1464</v>
      </c>
      <c r="AY100" s="119">
        <f t="shared" si="93"/>
        <v>6502.0166666666664</v>
      </c>
      <c r="AZ100" s="120">
        <f t="shared" si="93"/>
        <v>7802.4199999999992</v>
      </c>
      <c r="BA100" s="9"/>
      <c r="BB100" s="9"/>
      <c r="BC100" s="9"/>
      <c r="BD100" s="9"/>
      <c r="BE100" s="37"/>
      <c r="BF100" s="37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</row>
    <row r="101" spans="1:93" s="26" customFormat="1" ht="45.75" outlineLevel="1" x14ac:dyDescent="0.3">
      <c r="A101" s="162" t="s">
        <v>64</v>
      </c>
      <c r="B101" s="163"/>
      <c r="C101" s="163"/>
      <c r="D101" s="131"/>
      <c r="E101" s="115"/>
      <c r="F101" s="131"/>
      <c r="G101" s="116"/>
      <c r="H101" s="131"/>
      <c r="I101" s="131"/>
      <c r="J101" s="131"/>
      <c r="K101" s="116"/>
      <c r="L101" s="116"/>
      <c r="M101" s="131"/>
      <c r="N101" s="131"/>
      <c r="O101" s="116"/>
      <c r="P101" s="116"/>
      <c r="Q101" s="131"/>
      <c r="R101" s="131"/>
      <c r="S101" s="116"/>
      <c r="T101" s="116"/>
      <c r="U101" s="131"/>
      <c r="V101" s="131"/>
      <c r="W101" s="116"/>
      <c r="X101" s="116"/>
      <c r="Y101" s="131"/>
      <c r="Z101" s="131"/>
      <c r="AA101" s="116"/>
      <c r="AB101" s="116"/>
      <c r="AC101" s="131"/>
      <c r="AD101" s="131"/>
      <c r="AE101" s="116"/>
      <c r="AF101" s="116"/>
      <c r="AG101" s="131"/>
      <c r="AH101" s="131"/>
      <c r="AI101" s="116"/>
      <c r="AJ101" s="116"/>
      <c r="AK101" s="131"/>
      <c r="AL101" s="131"/>
      <c r="AM101" s="116"/>
      <c r="AN101" s="116"/>
      <c r="AO101" s="131"/>
      <c r="AP101" s="116"/>
      <c r="AQ101" s="129"/>
      <c r="AR101" s="131"/>
      <c r="AS101" s="116"/>
      <c r="AT101" s="126"/>
      <c r="AU101" s="118"/>
      <c r="AV101" s="144"/>
      <c r="AW101" s="126"/>
      <c r="AX101" s="126"/>
      <c r="AY101" s="127"/>
      <c r="AZ101" s="130"/>
      <c r="BA101" s="25"/>
      <c r="BB101" s="25"/>
      <c r="BC101" s="25"/>
      <c r="BD101" s="25"/>
      <c r="BE101" s="25"/>
      <c r="BF101" s="25"/>
      <c r="CJ101" s="36"/>
      <c r="CK101" s="36"/>
      <c r="CL101" s="36"/>
      <c r="CM101" s="36"/>
      <c r="CN101" s="36"/>
      <c r="CO101" s="36"/>
    </row>
    <row r="102" spans="1:93" s="4" customFormat="1" ht="366" outlineLevel="1" x14ac:dyDescent="0.25">
      <c r="A102" s="111">
        <f>A100+1</f>
        <v>75</v>
      </c>
      <c r="B102" s="112" t="s">
        <v>177</v>
      </c>
      <c r="C102" s="113" t="s">
        <v>112</v>
      </c>
      <c r="D102" s="114" t="s">
        <v>19</v>
      </c>
      <c r="E102" s="115">
        <f t="shared" si="115"/>
        <v>659.19999999999993</v>
      </c>
      <c r="F102" s="116">
        <v>0</v>
      </c>
      <c r="G102" s="116">
        <f t="shared" si="106"/>
        <v>16.666666666666668</v>
      </c>
      <c r="H102" s="116">
        <v>20</v>
      </c>
      <c r="I102" s="116">
        <f t="shared" si="81"/>
        <v>0</v>
      </c>
      <c r="J102" s="115">
        <v>117.8</v>
      </c>
      <c r="K102" s="116">
        <f t="shared" si="107"/>
        <v>12.916666666666668</v>
      </c>
      <c r="L102" s="116">
        <v>15.5</v>
      </c>
      <c r="M102" s="116">
        <f t="shared" si="82"/>
        <v>1825.8999999999999</v>
      </c>
      <c r="N102" s="117">
        <v>136.9</v>
      </c>
      <c r="O102" s="116">
        <f t="shared" si="108"/>
        <v>4.666666666666667</v>
      </c>
      <c r="P102" s="116">
        <v>5.6</v>
      </c>
      <c r="Q102" s="116">
        <f t="shared" si="83"/>
        <v>766.64</v>
      </c>
      <c r="R102" s="115">
        <v>0</v>
      </c>
      <c r="S102" s="116">
        <f t="shared" si="117"/>
        <v>15.583333333333334</v>
      </c>
      <c r="T102" s="116">
        <v>18.7</v>
      </c>
      <c r="U102" s="116">
        <f t="shared" si="84"/>
        <v>0</v>
      </c>
      <c r="V102" s="116">
        <v>58.9</v>
      </c>
      <c r="W102" s="116">
        <f t="shared" si="109"/>
        <v>6.416666666666667</v>
      </c>
      <c r="X102" s="116">
        <v>7.7</v>
      </c>
      <c r="Y102" s="116">
        <f t="shared" si="85"/>
        <v>453.53</v>
      </c>
      <c r="Z102" s="115">
        <v>164.1</v>
      </c>
      <c r="AA102" s="116">
        <f t="shared" si="110"/>
        <v>6</v>
      </c>
      <c r="AB102" s="116">
        <v>7.2</v>
      </c>
      <c r="AC102" s="116">
        <f t="shared" si="86"/>
        <v>1181.52</v>
      </c>
      <c r="AD102" s="116">
        <v>0</v>
      </c>
      <c r="AE102" s="116">
        <f t="shared" si="111"/>
        <v>4.666666666666667</v>
      </c>
      <c r="AF102" s="116">
        <v>5.6</v>
      </c>
      <c r="AG102" s="116">
        <f t="shared" si="87"/>
        <v>0</v>
      </c>
      <c r="AH102" s="117">
        <v>172.6</v>
      </c>
      <c r="AI102" s="116">
        <f t="shared" si="112"/>
        <v>8.3333333333333339</v>
      </c>
      <c r="AJ102" s="116">
        <v>10</v>
      </c>
      <c r="AK102" s="116">
        <f t="shared" si="88"/>
        <v>1726</v>
      </c>
      <c r="AL102" s="117">
        <v>8.9</v>
      </c>
      <c r="AM102" s="116">
        <f t="shared" si="116"/>
        <v>12.750000000000002</v>
      </c>
      <c r="AN102" s="116">
        <v>15.3</v>
      </c>
      <c r="AO102" s="116">
        <f t="shared" si="89"/>
        <v>136.17000000000002</v>
      </c>
      <c r="AP102" s="116">
        <f t="shared" si="113"/>
        <v>5074.8</v>
      </c>
      <c r="AQ102" s="116">
        <f t="shared" si="92"/>
        <v>6089.76</v>
      </c>
      <c r="AR102" s="117">
        <v>1200</v>
      </c>
      <c r="AS102" s="116" t="s">
        <v>210</v>
      </c>
      <c r="AT102" s="118">
        <v>0</v>
      </c>
      <c r="AU102" s="118">
        <f t="shared" si="114"/>
        <v>6.1000000000000005</v>
      </c>
      <c r="AV102" s="144">
        <v>7.32</v>
      </c>
      <c r="AW102" s="118">
        <f t="shared" si="90"/>
        <v>7320.0000000000009</v>
      </c>
      <c r="AX102" s="118">
        <f t="shared" si="91"/>
        <v>8784</v>
      </c>
      <c r="AY102" s="119">
        <f t="shared" si="93"/>
        <v>12394.800000000001</v>
      </c>
      <c r="AZ102" s="120">
        <f t="shared" si="93"/>
        <v>14873.76</v>
      </c>
      <c r="BA102" s="9"/>
      <c r="BB102" s="9"/>
      <c r="BC102" s="9"/>
      <c r="BD102" s="9"/>
      <c r="BE102" s="37"/>
      <c r="BF102" s="37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</row>
    <row r="103" spans="1:93" s="4" customFormat="1" ht="274.5" outlineLevel="1" x14ac:dyDescent="0.25">
      <c r="A103" s="111">
        <f>A102+1</f>
        <v>76</v>
      </c>
      <c r="B103" s="112" t="s">
        <v>177</v>
      </c>
      <c r="C103" s="113" t="s">
        <v>113</v>
      </c>
      <c r="D103" s="114" t="s">
        <v>19</v>
      </c>
      <c r="E103" s="115">
        <f t="shared" si="115"/>
        <v>697.59999999999991</v>
      </c>
      <c r="F103" s="116">
        <v>0</v>
      </c>
      <c r="G103" s="116">
        <f t="shared" si="106"/>
        <v>16.666666666666668</v>
      </c>
      <c r="H103" s="116">
        <v>20</v>
      </c>
      <c r="I103" s="116">
        <f t="shared" si="81"/>
        <v>0</v>
      </c>
      <c r="J103" s="115">
        <v>218.5</v>
      </c>
      <c r="K103" s="116">
        <f t="shared" si="107"/>
        <v>12.916666666666668</v>
      </c>
      <c r="L103" s="116">
        <v>15.5</v>
      </c>
      <c r="M103" s="116">
        <f t="shared" si="82"/>
        <v>3386.75</v>
      </c>
      <c r="N103" s="117">
        <v>70.5</v>
      </c>
      <c r="O103" s="116">
        <f t="shared" si="108"/>
        <v>4.666666666666667</v>
      </c>
      <c r="P103" s="116">
        <v>5.6</v>
      </c>
      <c r="Q103" s="116">
        <f t="shared" si="83"/>
        <v>394.79999999999995</v>
      </c>
      <c r="R103" s="115">
        <v>0</v>
      </c>
      <c r="S103" s="116">
        <f t="shared" si="117"/>
        <v>15.583333333333334</v>
      </c>
      <c r="T103" s="116">
        <v>18.7</v>
      </c>
      <c r="U103" s="116">
        <f t="shared" si="84"/>
        <v>0</v>
      </c>
      <c r="V103" s="116">
        <v>21.3</v>
      </c>
      <c r="W103" s="116">
        <f t="shared" si="109"/>
        <v>6.416666666666667</v>
      </c>
      <c r="X103" s="116">
        <v>7.7</v>
      </c>
      <c r="Y103" s="116">
        <f t="shared" si="85"/>
        <v>164.01000000000002</v>
      </c>
      <c r="Z103" s="115">
        <v>215.5</v>
      </c>
      <c r="AA103" s="116">
        <f t="shared" si="110"/>
        <v>6</v>
      </c>
      <c r="AB103" s="116">
        <v>7.2</v>
      </c>
      <c r="AC103" s="116">
        <f t="shared" si="86"/>
        <v>1551.6000000000001</v>
      </c>
      <c r="AD103" s="116">
        <v>0</v>
      </c>
      <c r="AE103" s="116">
        <f t="shared" si="111"/>
        <v>4.666666666666667</v>
      </c>
      <c r="AF103" s="116">
        <v>5.6</v>
      </c>
      <c r="AG103" s="116">
        <f t="shared" si="87"/>
        <v>0</v>
      </c>
      <c r="AH103" s="117">
        <v>159.5</v>
      </c>
      <c r="AI103" s="116">
        <f t="shared" si="112"/>
        <v>8.3333333333333339</v>
      </c>
      <c r="AJ103" s="116">
        <v>10</v>
      </c>
      <c r="AK103" s="116">
        <f t="shared" si="88"/>
        <v>1595</v>
      </c>
      <c r="AL103" s="117">
        <v>12.3</v>
      </c>
      <c r="AM103" s="116">
        <f t="shared" si="116"/>
        <v>12.750000000000002</v>
      </c>
      <c r="AN103" s="116">
        <v>15.3</v>
      </c>
      <c r="AO103" s="116">
        <f t="shared" si="89"/>
        <v>188.19000000000003</v>
      </c>
      <c r="AP103" s="116">
        <f t="shared" si="113"/>
        <v>6066.9583333333339</v>
      </c>
      <c r="AQ103" s="116">
        <f t="shared" si="92"/>
        <v>7280.35</v>
      </c>
      <c r="AR103" s="117">
        <v>2500</v>
      </c>
      <c r="AS103" s="116" t="s">
        <v>210</v>
      </c>
      <c r="AT103" s="118">
        <v>0</v>
      </c>
      <c r="AU103" s="118">
        <f t="shared" si="114"/>
        <v>6.1000000000000005</v>
      </c>
      <c r="AV103" s="144">
        <v>7.32</v>
      </c>
      <c r="AW103" s="118">
        <f t="shared" si="90"/>
        <v>15250.000000000002</v>
      </c>
      <c r="AX103" s="118">
        <f t="shared" si="91"/>
        <v>18300</v>
      </c>
      <c r="AY103" s="119">
        <f t="shared" si="93"/>
        <v>21316.958333333336</v>
      </c>
      <c r="AZ103" s="120">
        <f t="shared" si="93"/>
        <v>25580.35</v>
      </c>
      <c r="BA103" s="9"/>
      <c r="BB103" s="9"/>
      <c r="BC103" s="9"/>
      <c r="BD103" s="9"/>
      <c r="BE103" s="37"/>
      <c r="BF103" s="37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5"/>
      <c r="CO103" s="35"/>
    </row>
    <row r="104" spans="1:93" s="4" customFormat="1" ht="366" outlineLevel="1" x14ac:dyDescent="0.25">
      <c r="A104" s="111">
        <f>A103+1</f>
        <v>77</v>
      </c>
      <c r="B104" s="112" t="s">
        <v>177</v>
      </c>
      <c r="C104" s="113" t="s">
        <v>114</v>
      </c>
      <c r="D104" s="114" t="s">
        <v>19</v>
      </c>
      <c r="E104" s="115">
        <f t="shared" si="115"/>
        <v>479.4</v>
      </c>
      <c r="F104" s="116">
        <v>0</v>
      </c>
      <c r="G104" s="116">
        <f t="shared" si="106"/>
        <v>16.666666666666668</v>
      </c>
      <c r="H104" s="116">
        <v>20</v>
      </c>
      <c r="I104" s="116">
        <f t="shared" si="81"/>
        <v>0</v>
      </c>
      <c r="J104" s="115">
        <v>166.2</v>
      </c>
      <c r="K104" s="116">
        <f t="shared" si="107"/>
        <v>12.916666666666668</v>
      </c>
      <c r="L104" s="116">
        <v>15.5</v>
      </c>
      <c r="M104" s="116">
        <f t="shared" si="82"/>
        <v>2576.1</v>
      </c>
      <c r="N104" s="117">
        <v>34.200000000000003</v>
      </c>
      <c r="O104" s="116">
        <f t="shared" si="108"/>
        <v>4.666666666666667</v>
      </c>
      <c r="P104" s="116">
        <v>5.6</v>
      </c>
      <c r="Q104" s="116">
        <f t="shared" si="83"/>
        <v>191.52</v>
      </c>
      <c r="R104" s="115">
        <v>0</v>
      </c>
      <c r="S104" s="116">
        <f t="shared" si="117"/>
        <v>15.583333333333334</v>
      </c>
      <c r="T104" s="116">
        <v>18.7</v>
      </c>
      <c r="U104" s="116">
        <f t="shared" si="84"/>
        <v>0</v>
      </c>
      <c r="V104" s="116">
        <v>49.1</v>
      </c>
      <c r="W104" s="116">
        <f t="shared" si="109"/>
        <v>6.416666666666667</v>
      </c>
      <c r="X104" s="116">
        <v>7.7</v>
      </c>
      <c r="Y104" s="116">
        <f t="shared" si="85"/>
        <v>378.07</v>
      </c>
      <c r="Z104" s="115">
        <v>73.900000000000006</v>
      </c>
      <c r="AA104" s="116">
        <f t="shared" si="110"/>
        <v>6</v>
      </c>
      <c r="AB104" s="116">
        <v>7.2</v>
      </c>
      <c r="AC104" s="116">
        <f t="shared" si="86"/>
        <v>532.08000000000004</v>
      </c>
      <c r="AD104" s="116">
        <v>0</v>
      </c>
      <c r="AE104" s="116">
        <f t="shared" si="111"/>
        <v>4.666666666666667</v>
      </c>
      <c r="AF104" s="116">
        <v>5.6</v>
      </c>
      <c r="AG104" s="116">
        <f t="shared" si="87"/>
        <v>0</v>
      </c>
      <c r="AH104" s="117">
        <v>152.1</v>
      </c>
      <c r="AI104" s="116">
        <f t="shared" si="112"/>
        <v>8.3333333333333339</v>
      </c>
      <c r="AJ104" s="116">
        <v>10</v>
      </c>
      <c r="AK104" s="116">
        <f t="shared" si="88"/>
        <v>1521</v>
      </c>
      <c r="AL104" s="117">
        <v>3.9</v>
      </c>
      <c r="AM104" s="116">
        <f t="shared" si="116"/>
        <v>12.750000000000002</v>
      </c>
      <c r="AN104" s="116">
        <v>15.3</v>
      </c>
      <c r="AO104" s="116">
        <f t="shared" si="89"/>
        <v>59.67</v>
      </c>
      <c r="AP104" s="116">
        <f t="shared" si="113"/>
        <v>4382.0333333333338</v>
      </c>
      <c r="AQ104" s="116">
        <f t="shared" si="92"/>
        <v>5258.4400000000005</v>
      </c>
      <c r="AR104" s="117">
        <v>1200</v>
      </c>
      <c r="AS104" s="116" t="s">
        <v>210</v>
      </c>
      <c r="AT104" s="118">
        <v>0</v>
      </c>
      <c r="AU104" s="118">
        <f t="shared" si="114"/>
        <v>6.1000000000000005</v>
      </c>
      <c r="AV104" s="144">
        <v>7.32</v>
      </c>
      <c r="AW104" s="118">
        <f t="shared" si="90"/>
        <v>7320.0000000000009</v>
      </c>
      <c r="AX104" s="118">
        <f t="shared" si="91"/>
        <v>8784</v>
      </c>
      <c r="AY104" s="119">
        <f t="shared" si="93"/>
        <v>11702.033333333335</v>
      </c>
      <c r="AZ104" s="120">
        <f t="shared" si="93"/>
        <v>14042.44</v>
      </c>
      <c r="BA104" s="9"/>
      <c r="BB104" s="9"/>
      <c r="BC104" s="9"/>
      <c r="BD104" s="9"/>
      <c r="BE104" s="37"/>
      <c r="BF104" s="37"/>
      <c r="BG104" s="35"/>
      <c r="BH104" s="35"/>
      <c r="BI104" s="35"/>
      <c r="BJ104" s="35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5"/>
      <c r="CO104" s="35"/>
    </row>
    <row r="105" spans="1:93" s="4" customFormat="1" ht="45.75" outlineLevel="1" x14ac:dyDescent="0.25">
      <c r="A105" s="160" t="s">
        <v>65</v>
      </c>
      <c r="B105" s="161"/>
      <c r="C105" s="161"/>
      <c r="D105" s="124"/>
      <c r="E105" s="115"/>
      <c r="F105" s="124"/>
      <c r="G105" s="116"/>
      <c r="H105" s="124"/>
      <c r="I105" s="124"/>
      <c r="J105" s="124"/>
      <c r="K105" s="116"/>
      <c r="L105" s="116"/>
      <c r="M105" s="124"/>
      <c r="N105" s="124"/>
      <c r="O105" s="116"/>
      <c r="P105" s="116"/>
      <c r="Q105" s="124"/>
      <c r="R105" s="124"/>
      <c r="S105" s="116"/>
      <c r="T105" s="116"/>
      <c r="U105" s="124"/>
      <c r="V105" s="124"/>
      <c r="W105" s="116"/>
      <c r="X105" s="116"/>
      <c r="Y105" s="124"/>
      <c r="Z105" s="124"/>
      <c r="AA105" s="116"/>
      <c r="AB105" s="116"/>
      <c r="AC105" s="124"/>
      <c r="AD105" s="124"/>
      <c r="AE105" s="116"/>
      <c r="AF105" s="116"/>
      <c r="AG105" s="124"/>
      <c r="AH105" s="124"/>
      <c r="AI105" s="116"/>
      <c r="AJ105" s="116"/>
      <c r="AK105" s="124"/>
      <c r="AL105" s="124"/>
      <c r="AM105" s="116"/>
      <c r="AN105" s="116"/>
      <c r="AO105" s="124"/>
      <c r="AP105" s="116"/>
      <c r="AQ105" s="129"/>
      <c r="AR105" s="124"/>
      <c r="AS105" s="116"/>
      <c r="AT105" s="126"/>
      <c r="AU105" s="118"/>
      <c r="AV105" s="144"/>
      <c r="AW105" s="126"/>
      <c r="AX105" s="126"/>
      <c r="AY105" s="127"/>
      <c r="AZ105" s="130"/>
      <c r="BA105" s="9"/>
      <c r="BB105" s="9"/>
      <c r="BC105" s="9"/>
      <c r="BD105" s="9"/>
      <c r="BE105" s="37"/>
      <c r="BF105" s="37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</row>
    <row r="106" spans="1:93" s="4" customFormat="1" ht="228.75" outlineLevel="1" x14ac:dyDescent="0.25">
      <c r="A106" s="111">
        <f>A104+1</f>
        <v>78</v>
      </c>
      <c r="B106" s="112" t="s">
        <v>17</v>
      </c>
      <c r="C106" s="113" t="s">
        <v>115</v>
      </c>
      <c r="D106" s="114" t="s">
        <v>19</v>
      </c>
      <c r="E106" s="115">
        <f t="shared" si="115"/>
        <v>450.2</v>
      </c>
      <c r="F106" s="116">
        <v>0</v>
      </c>
      <c r="G106" s="116">
        <f t="shared" si="106"/>
        <v>16.666666666666668</v>
      </c>
      <c r="H106" s="116">
        <v>20</v>
      </c>
      <c r="I106" s="116">
        <f t="shared" si="81"/>
        <v>0</v>
      </c>
      <c r="J106" s="115">
        <v>296.5</v>
      </c>
      <c r="K106" s="116">
        <f t="shared" si="107"/>
        <v>12.916666666666668</v>
      </c>
      <c r="L106" s="116">
        <v>15.5</v>
      </c>
      <c r="M106" s="116">
        <f t="shared" si="82"/>
        <v>4595.75</v>
      </c>
      <c r="N106" s="117"/>
      <c r="O106" s="116">
        <f t="shared" si="108"/>
        <v>4.666666666666667</v>
      </c>
      <c r="P106" s="116">
        <v>5.6</v>
      </c>
      <c r="Q106" s="116">
        <f t="shared" si="83"/>
        <v>0</v>
      </c>
      <c r="R106" s="115">
        <v>0</v>
      </c>
      <c r="S106" s="116">
        <f t="shared" si="117"/>
        <v>15.583333333333334</v>
      </c>
      <c r="T106" s="116">
        <v>18.7</v>
      </c>
      <c r="U106" s="116">
        <f t="shared" si="84"/>
        <v>0</v>
      </c>
      <c r="V106" s="116">
        <v>0</v>
      </c>
      <c r="W106" s="116">
        <f t="shared" si="109"/>
        <v>6.416666666666667</v>
      </c>
      <c r="X106" s="116">
        <v>7.7</v>
      </c>
      <c r="Y106" s="116">
        <f t="shared" si="85"/>
        <v>0</v>
      </c>
      <c r="Z106" s="115">
        <f>135.5</f>
        <v>135.5</v>
      </c>
      <c r="AA106" s="116">
        <f t="shared" si="110"/>
        <v>6</v>
      </c>
      <c r="AB106" s="116">
        <v>7.2</v>
      </c>
      <c r="AC106" s="116">
        <f t="shared" si="86"/>
        <v>975.6</v>
      </c>
      <c r="AD106" s="116">
        <v>0</v>
      </c>
      <c r="AE106" s="116">
        <f t="shared" si="111"/>
        <v>4.666666666666667</v>
      </c>
      <c r="AF106" s="116">
        <v>5.6</v>
      </c>
      <c r="AG106" s="116">
        <f t="shared" si="87"/>
        <v>0</v>
      </c>
      <c r="AH106" s="117">
        <v>0</v>
      </c>
      <c r="AI106" s="116">
        <f t="shared" si="112"/>
        <v>8.3333333333333339</v>
      </c>
      <c r="AJ106" s="116">
        <v>10</v>
      </c>
      <c r="AK106" s="116">
        <f t="shared" si="88"/>
        <v>0</v>
      </c>
      <c r="AL106" s="117">
        <v>18.2</v>
      </c>
      <c r="AM106" s="116">
        <f t="shared" si="116"/>
        <v>12.750000000000002</v>
      </c>
      <c r="AN106" s="116">
        <v>15.3</v>
      </c>
      <c r="AO106" s="116">
        <f t="shared" si="89"/>
        <v>278.45999999999998</v>
      </c>
      <c r="AP106" s="116">
        <f t="shared" si="113"/>
        <v>4874.8416666666672</v>
      </c>
      <c r="AQ106" s="116">
        <f t="shared" si="92"/>
        <v>5849.81</v>
      </c>
      <c r="AR106" s="117">
        <v>1900</v>
      </c>
      <c r="AS106" s="116" t="s">
        <v>210</v>
      </c>
      <c r="AT106" s="118">
        <v>0</v>
      </c>
      <c r="AU106" s="118">
        <f t="shared" si="114"/>
        <v>6.1000000000000005</v>
      </c>
      <c r="AV106" s="144">
        <v>7.32</v>
      </c>
      <c r="AW106" s="118">
        <f t="shared" si="90"/>
        <v>11590.000000000002</v>
      </c>
      <c r="AX106" s="118">
        <f t="shared" si="91"/>
        <v>13908</v>
      </c>
      <c r="AY106" s="119">
        <f t="shared" si="93"/>
        <v>16464.841666666667</v>
      </c>
      <c r="AZ106" s="120">
        <f t="shared" si="93"/>
        <v>19757.810000000001</v>
      </c>
      <c r="BA106" s="9"/>
      <c r="BB106" s="9"/>
      <c r="BC106" s="9"/>
      <c r="BD106" s="9"/>
      <c r="BE106" s="37"/>
      <c r="BF106" s="37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  <c r="CG106" s="35"/>
      <c r="CH106" s="35"/>
      <c r="CI106" s="35"/>
      <c r="CJ106" s="35"/>
      <c r="CK106" s="35"/>
      <c r="CL106" s="35"/>
      <c r="CM106" s="35"/>
      <c r="CN106" s="35"/>
      <c r="CO106" s="35"/>
    </row>
    <row r="107" spans="1:93" s="4" customFormat="1" ht="228.75" outlineLevel="1" x14ac:dyDescent="0.25">
      <c r="A107" s="111">
        <f>A106+1</f>
        <v>79</v>
      </c>
      <c r="B107" s="112" t="s">
        <v>178</v>
      </c>
      <c r="C107" s="113" t="s">
        <v>116</v>
      </c>
      <c r="D107" s="114" t="s">
        <v>19</v>
      </c>
      <c r="E107" s="115">
        <f t="shared" si="115"/>
        <v>286.7</v>
      </c>
      <c r="F107" s="116">
        <v>0</v>
      </c>
      <c r="G107" s="116">
        <f t="shared" si="106"/>
        <v>16.666666666666668</v>
      </c>
      <c r="H107" s="116">
        <v>20</v>
      </c>
      <c r="I107" s="116">
        <f t="shared" si="81"/>
        <v>0</v>
      </c>
      <c r="J107" s="115">
        <v>0</v>
      </c>
      <c r="K107" s="116">
        <f t="shared" si="107"/>
        <v>12.916666666666668</v>
      </c>
      <c r="L107" s="116">
        <v>15.5</v>
      </c>
      <c r="M107" s="116">
        <f t="shared" si="82"/>
        <v>0</v>
      </c>
      <c r="N107" s="117">
        <v>105.7</v>
      </c>
      <c r="O107" s="116">
        <f t="shared" si="108"/>
        <v>4.666666666666667</v>
      </c>
      <c r="P107" s="116">
        <v>5.6</v>
      </c>
      <c r="Q107" s="116">
        <f t="shared" si="83"/>
        <v>591.91999999999996</v>
      </c>
      <c r="R107" s="115">
        <v>0</v>
      </c>
      <c r="S107" s="116">
        <f t="shared" si="117"/>
        <v>15.583333333333334</v>
      </c>
      <c r="T107" s="116">
        <v>18.7</v>
      </c>
      <c r="U107" s="116">
        <f t="shared" si="84"/>
        <v>0</v>
      </c>
      <c r="V107" s="116">
        <v>21.1</v>
      </c>
      <c r="W107" s="116">
        <f t="shared" si="109"/>
        <v>6.416666666666667</v>
      </c>
      <c r="X107" s="116">
        <v>7.7</v>
      </c>
      <c r="Y107" s="116">
        <f t="shared" si="85"/>
        <v>162.47000000000003</v>
      </c>
      <c r="Z107" s="115">
        <f>132.4+18.6</f>
        <v>151</v>
      </c>
      <c r="AA107" s="116">
        <f t="shared" si="110"/>
        <v>6</v>
      </c>
      <c r="AB107" s="116">
        <v>7.2</v>
      </c>
      <c r="AC107" s="116">
        <f t="shared" si="86"/>
        <v>1087.2</v>
      </c>
      <c r="AD107" s="116">
        <v>0</v>
      </c>
      <c r="AE107" s="116">
        <f t="shared" si="111"/>
        <v>4.666666666666667</v>
      </c>
      <c r="AF107" s="116">
        <v>5.6</v>
      </c>
      <c r="AG107" s="116">
        <f t="shared" si="87"/>
        <v>0</v>
      </c>
      <c r="AH107" s="117">
        <v>0</v>
      </c>
      <c r="AI107" s="116">
        <f t="shared" si="112"/>
        <v>8.3333333333333339</v>
      </c>
      <c r="AJ107" s="116">
        <v>10</v>
      </c>
      <c r="AK107" s="116">
        <f t="shared" si="88"/>
        <v>0</v>
      </c>
      <c r="AL107" s="117">
        <v>8.9</v>
      </c>
      <c r="AM107" s="116">
        <f t="shared" si="116"/>
        <v>12.750000000000002</v>
      </c>
      <c r="AN107" s="116">
        <v>15.3</v>
      </c>
      <c r="AO107" s="116">
        <f t="shared" si="89"/>
        <v>136.17000000000002</v>
      </c>
      <c r="AP107" s="116">
        <f t="shared" si="113"/>
        <v>1648.1333333333337</v>
      </c>
      <c r="AQ107" s="116">
        <f t="shared" si="92"/>
        <v>1977.7600000000002</v>
      </c>
      <c r="AR107" s="117">
        <v>640</v>
      </c>
      <c r="AS107" s="116" t="s">
        <v>210</v>
      </c>
      <c r="AT107" s="118">
        <v>0</v>
      </c>
      <c r="AU107" s="118">
        <f t="shared" si="114"/>
        <v>6.1000000000000005</v>
      </c>
      <c r="AV107" s="144">
        <v>7.32</v>
      </c>
      <c r="AW107" s="118">
        <f t="shared" si="90"/>
        <v>3904.0000000000005</v>
      </c>
      <c r="AX107" s="118">
        <f t="shared" si="91"/>
        <v>4684.8</v>
      </c>
      <c r="AY107" s="119">
        <f t="shared" si="93"/>
        <v>5552.1333333333341</v>
      </c>
      <c r="AZ107" s="120">
        <f t="shared" si="93"/>
        <v>6662.56</v>
      </c>
      <c r="BA107" s="9"/>
      <c r="BB107" s="9"/>
      <c r="BC107" s="9"/>
      <c r="BD107" s="9"/>
      <c r="BE107" s="37"/>
      <c r="BF107" s="37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5"/>
      <c r="CO107" s="35"/>
    </row>
    <row r="108" spans="1:93" s="4" customFormat="1" ht="274.5" outlineLevel="1" x14ac:dyDescent="0.25">
      <c r="A108" s="111">
        <f>A107+1</f>
        <v>80</v>
      </c>
      <c r="B108" s="112" t="s">
        <v>178</v>
      </c>
      <c r="C108" s="113" t="s">
        <v>117</v>
      </c>
      <c r="D108" s="114" t="s">
        <v>19</v>
      </c>
      <c r="E108" s="115">
        <f t="shared" si="115"/>
        <v>1700.2000000000003</v>
      </c>
      <c r="F108" s="116">
        <v>0</v>
      </c>
      <c r="G108" s="116">
        <f t="shared" si="106"/>
        <v>16.666666666666668</v>
      </c>
      <c r="H108" s="116">
        <v>20</v>
      </c>
      <c r="I108" s="116">
        <f t="shared" si="81"/>
        <v>0</v>
      </c>
      <c r="J108" s="115">
        <v>342.4</v>
      </c>
      <c r="K108" s="116">
        <f t="shared" si="107"/>
        <v>12.916666666666668</v>
      </c>
      <c r="L108" s="116">
        <v>15.5</v>
      </c>
      <c r="M108" s="116">
        <f t="shared" si="82"/>
        <v>5307.2</v>
      </c>
      <c r="N108" s="117">
        <v>130.80000000000001</v>
      </c>
      <c r="O108" s="116">
        <f t="shared" si="108"/>
        <v>4.666666666666667</v>
      </c>
      <c r="P108" s="116">
        <v>5.6</v>
      </c>
      <c r="Q108" s="116">
        <f t="shared" si="83"/>
        <v>732.48</v>
      </c>
      <c r="R108" s="115">
        <v>0</v>
      </c>
      <c r="S108" s="116">
        <f t="shared" si="117"/>
        <v>15.583333333333334</v>
      </c>
      <c r="T108" s="116">
        <v>18.7</v>
      </c>
      <c r="U108" s="116">
        <f t="shared" si="84"/>
        <v>0</v>
      </c>
      <c r="V108" s="116">
        <v>259.5</v>
      </c>
      <c r="W108" s="116">
        <f t="shared" si="109"/>
        <v>6.416666666666667</v>
      </c>
      <c r="X108" s="116">
        <v>7.7</v>
      </c>
      <c r="Y108" s="116">
        <f t="shared" si="85"/>
        <v>1998.15</v>
      </c>
      <c r="Z108" s="115">
        <v>315.10000000000002</v>
      </c>
      <c r="AA108" s="116">
        <f t="shared" si="110"/>
        <v>6</v>
      </c>
      <c r="AB108" s="116">
        <v>7.2</v>
      </c>
      <c r="AC108" s="116">
        <f t="shared" si="86"/>
        <v>2268.7200000000003</v>
      </c>
      <c r="AD108" s="116">
        <v>0</v>
      </c>
      <c r="AE108" s="116">
        <f t="shared" si="111"/>
        <v>4.666666666666667</v>
      </c>
      <c r="AF108" s="116">
        <v>5.6</v>
      </c>
      <c r="AG108" s="116">
        <f t="shared" si="87"/>
        <v>0</v>
      </c>
      <c r="AH108" s="117">
        <v>625.4</v>
      </c>
      <c r="AI108" s="116">
        <f t="shared" si="112"/>
        <v>8.3333333333333339</v>
      </c>
      <c r="AJ108" s="116">
        <v>10</v>
      </c>
      <c r="AK108" s="116">
        <f t="shared" si="88"/>
        <v>6254</v>
      </c>
      <c r="AL108" s="117">
        <v>27</v>
      </c>
      <c r="AM108" s="116">
        <f t="shared" si="116"/>
        <v>12.750000000000002</v>
      </c>
      <c r="AN108" s="116">
        <v>15.3</v>
      </c>
      <c r="AO108" s="116">
        <f t="shared" si="89"/>
        <v>413.1</v>
      </c>
      <c r="AP108" s="116">
        <f t="shared" si="113"/>
        <v>14144.708333333332</v>
      </c>
      <c r="AQ108" s="116">
        <f t="shared" si="92"/>
        <v>16973.649999999998</v>
      </c>
      <c r="AR108" s="117">
        <v>6560</v>
      </c>
      <c r="AS108" s="116" t="s">
        <v>210</v>
      </c>
      <c r="AT108" s="118">
        <v>0</v>
      </c>
      <c r="AU108" s="118">
        <f t="shared" si="114"/>
        <v>6.1000000000000005</v>
      </c>
      <c r="AV108" s="144">
        <v>7.32</v>
      </c>
      <c r="AW108" s="118">
        <f t="shared" si="90"/>
        <v>40016</v>
      </c>
      <c r="AX108" s="118">
        <f t="shared" si="91"/>
        <v>48019.200000000004</v>
      </c>
      <c r="AY108" s="119">
        <f t="shared" si="93"/>
        <v>54160.708333333328</v>
      </c>
      <c r="AZ108" s="120">
        <f t="shared" si="93"/>
        <v>64992.850000000006</v>
      </c>
      <c r="BA108" s="9"/>
      <c r="BB108" s="9"/>
      <c r="BC108" s="9"/>
      <c r="BD108" s="9"/>
      <c r="BE108" s="37"/>
      <c r="BF108" s="37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  <c r="CG108" s="35"/>
      <c r="CH108" s="35"/>
      <c r="CI108" s="35"/>
      <c r="CJ108" s="35"/>
      <c r="CK108" s="35"/>
      <c r="CL108" s="35"/>
      <c r="CM108" s="35"/>
      <c r="CN108" s="35"/>
      <c r="CO108" s="35"/>
    </row>
    <row r="109" spans="1:93" s="27" customFormat="1" ht="45.75" outlineLevel="1" x14ac:dyDescent="0.3">
      <c r="A109" s="162" t="s">
        <v>188</v>
      </c>
      <c r="B109" s="163"/>
      <c r="C109" s="163"/>
      <c r="D109" s="131"/>
      <c r="E109" s="115"/>
      <c r="F109" s="131"/>
      <c r="G109" s="116"/>
      <c r="H109" s="131"/>
      <c r="I109" s="131"/>
      <c r="J109" s="131"/>
      <c r="K109" s="116"/>
      <c r="L109" s="116"/>
      <c r="M109" s="131"/>
      <c r="N109" s="131"/>
      <c r="O109" s="116"/>
      <c r="P109" s="116"/>
      <c r="Q109" s="131"/>
      <c r="R109" s="131"/>
      <c r="S109" s="116"/>
      <c r="T109" s="116"/>
      <c r="U109" s="131"/>
      <c r="V109" s="131"/>
      <c r="W109" s="116"/>
      <c r="X109" s="116"/>
      <c r="Y109" s="131"/>
      <c r="Z109" s="131"/>
      <c r="AA109" s="116"/>
      <c r="AB109" s="116"/>
      <c r="AC109" s="131"/>
      <c r="AD109" s="131"/>
      <c r="AE109" s="116"/>
      <c r="AF109" s="116"/>
      <c r="AG109" s="131"/>
      <c r="AH109" s="131"/>
      <c r="AI109" s="116"/>
      <c r="AJ109" s="116"/>
      <c r="AK109" s="131"/>
      <c r="AL109" s="131"/>
      <c r="AM109" s="116"/>
      <c r="AN109" s="116"/>
      <c r="AO109" s="131"/>
      <c r="AP109" s="116"/>
      <c r="AQ109" s="129"/>
      <c r="AR109" s="131"/>
      <c r="AS109" s="116"/>
      <c r="AT109" s="126"/>
      <c r="AU109" s="118"/>
      <c r="AV109" s="144"/>
      <c r="AW109" s="126"/>
      <c r="AX109" s="126"/>
      <c r="AY109" s="133"/>
      <c r="AZ109" s="130"/>
      <c r="BA109" s="25"/>
      <c r="BB109" s="25"/>
      <c r="BC109" s="25"/>
      <c r="BD109" s="25"/>
      <c r="BE109" s="61"/>
      <c r="BF109" s="61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</row>
    <row r="110" spans="1:93" s="27" customFormat="1" ht="45.75" outlineLevel="1" x14ac:dyDescent="0.3">
      <c r="A110" s="162" t="s">
        <v>160</v>
      </c>
      <c r="B110" s="163"/>
      <c r="C110" s="163"/>
      <c r="D110" s="131"/>
      <c r="E110" s="115"/>
      <c r="F110" s="131"/>
      <c r="G110" s="116"/>
      <c r="H110" s="131"/>
      <c r="I110" s="131"/>
      <c r="J110" s="131"/>
      <c r="K110" s="116"/>
      <c r="L110" s="116"/>
      <c r="M110" s="131"/>
      <c r="N110" s="131"/>
      <c r="O110" s="116"/>
      <c r="P110" s="116"/>
      <c r="Q110" s="131"/>
      <c r="R110" s="131"/>
      <c r="S110" s="116"/>
      <c r="T110" s="116"/>
      <c r="U110" s="131"/>
      <c r="V110" s="131"/>
      <c r="W110" s="116"/>
      <c r="X110" s="116"/>
      <c r="Y110" s="131"/>
      <c r="Z110" s="131"/>
      <c r="AA110" s="116"/>
      <c r="AB110" s="116"/>
      <c r="AC110" s="131"/>
      <c r="AD110" s="131"/>
      <c r="AE110" s="116"/>
      <c r="AF110" s="116"/>
      <c r="AG110" s="131"/>
      <c r="AH110" s="131"/>
      <c r="AI110" s="116"/>
      <c r="AJ110" s="116"/>
      <c r="AK110" s="131"/>
      <c r="AL110" s="131"/>
      <c r="AM110" s="116"/>
      <c r="AN110" s="116"/>
      <c r="AO110" s="131"/>
      <c r="AP110" s="116"/>
      <c r="AQ110" s="129"/>
      <c r="AR110" s="131"/>
      <c r="AS110" s="116"/>
      <c r="AT110" s="126"/>
      <c r="AU110" s="118"/>
      <c r="AV110" s="144"/>
      <c r="AW110" s="126"/>
      <c r="AX110" s="126"/>
      <c r="AY110" s="127"/>
      <c r="AZ110" s="130"/>
      <c r="BA110" s="25"/>
      <c r="BB110" s="25"/>
      <c r="BC110" s="25"/>
      <c r="BD110" s="25"/>
      <c r="BE110" s="61"/>
      <c r="BF110" s="61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</row>
    <row r="111" spans="1:93" s="4" customFormat="1" ht="320.25" outlineLevel="1" x14ac:dyDescent="0.25">
      <c r="A111" s="111">
        <v>81</v>
      </c>
      <c r="B111" s="112" t="s">
        <v>18</v>
      </c>
      <c r="C111" s="113" t="s">
        <v>118</v>
      </c>
      <c r="D111" s="114" t="s">
        <v>19</v>
      </c>
      <c r="E111" s="115">
        <f t="shared" si="115"/>
        <v>786.40000000000009</v>
      </c>
      <c r="F111" s="116">
        <v>0</v>
      </c>
      <c r="G111" s="116">
        <f t="shared" si="106"/>
        <v>16.666666666666668</v>
      </c>
      <c r="H111" s="116">
        <v>20</v>
      </c>
      <c r="I111" s="116">
        <f t="shared" ref="I111:I154" si="123">H111*F111</f>
        <v>0</v>
      </c>
      <c r="J111" s="115">
        <v>117.6</v>
      </c>
      <c r="K111" s="116">
        <f t="shared" si="107"/>
        <v>12.916666666666668</v>
      </c>
      <c r="L111" s="116">
        <v>15.5</v>
      </c>
      <c r="M111" s="116">
        <f t="shared" ref="M111:M154" si="124">L111*J111</f>
        <v>1822.8</v>
      </c>
      <c r="N111" s="117">
        <v>277.60000000000002</v>
      </c>
      <c r="O111" s="116">
        <f t="shared" si="108"/>
        <v>4.666666666666667</v>
      </c>
      <c r="P111" s="116">
        <v>5.6</v>
      </c>
      <c r="Q111" s="116">
        <f t="shared" ref="Q111:Q154" si="125">P111*N111</f>
        <v>1554.56</v>
      </c>
      <c r="R111" s="115">
        <v>0</v>
      </c>
      <c r="S111" s="116">
        <f t="shared" si="117"/>
        <v>15.583333333333334</v>
      </c>
      <c r="T111" s="116">
        <v>18.7</v>
      </c>
      <c r="U111" s="116">
        <f t="shared" ref="U111:U154" si="126">T111*R111</f>
        <v>0</v>
      </c>
      <c r="V111" s="116">
        <v>44.6</v>
      </c>
      <c r="W111" s="116">
        <f t="shared" si="109"/>
        <v>6.416666666666667</v>
      </c>
      <c r="X111" s="116">
        <v>7.7</v>
      </c>
      <c r="Y111" s="116">
        <f t="shared" ref="Y111:Y154" si="127">X111*V111</f>
        <v>343.42</v>
      </c>
      <c r="Z111" s="115">
        <v>135.1</v>
      </c>
      <c r="AA111" s="116">
        <f t="shared" si="110"/>
        <v>6</v>
      </c>
      <c r="AB111" s="116">
        <v>7.2</v>
      </c>
      <c r="AC111" s="116">
        <f t="shared" ref="AC111:AC154" si="128">AB111*Z111</f>
        <v>972.72</v>
      </c>
      <c r="AD111" s="116">
        <v>0</v>
      </c>
      <c r="AE111" s="116">
        <f t="shared" si="111"/>
        <v>4.666666666666667</v>
      </c>
      <c r="AF111" s="116">
        <v>5.6</v>
      </c>
      <c r="AG111" s="116">
        <f t="shared" ref="AG111:AG154" si="129">AF111*AD111</f>
        <v>0</v>
      </c>
      <c r="AH111" s="117">
        <v>199.1</v>
      </c>
      <c r="AI111" s="116">
        <f t="shared" si="112"/>
        <v>8.3333333333333339</v>
      </c>
      <c r="AJ111" s="116">
        <v>10</v>
      </c>
      <c r="AK111" s="116">
        <f t="shared" ref="AK111:AK154" si="130">AJ111*AH111</f>
        <v>1991</v>
      </c>
      <c r="AL111" s="117">
        <v>12.4</v>
      </c>
      <c r="AM111" s="116">
        <f t="shared" si="116"/>
        <v>12.750000000000002</v>
      </c>
      <c r="AN111" s="116">
        <v>15.3</v>
      </c>
      <c r="AO111" s="116">
        <f t="shared" ref="AO111:AO154" si="131">AN111*AL111</f>
        <v>189.72000000000003</v>
      </c>
      <c r="AP111" s="116">
        <f t="shared" si="113"/>
        <v>5728.5166666666673</v>
      </c>
      <c r="AQ111" s="116">
        <f t="shared" ref="AQ111:AQ147" si="132">I111+M111+Q111+U111+Y111+AC111+AG111+AK111+AO111</f>
        <v>6874.22</v>
      </c>
      <c r="AR111" s="117">
        <v>1990</v>
      </c>
      <c r="AS111" s="116" t="s">
        <v>210</v>
      </c>
      <c r="AT111" s="118">
        <v>0</v>
      </c>
      <c r="AU111" s="118">
        <f t="shared" si="114"/>
        <v>6.1000000000000005</v>
      </c>
      <c r="AV111" s="144">
        <v>7.32</v>
      </c>
      <c r="AW111" s="118">
        <f t="shared" ref="AW111:AW154" si="133">AU111*AR111</f>
        <v>12139.000000000002</v>
      </c>
      <c r="AX111" s="118">
        <f t="shared" ref="AX111:AX154" si="134">AV111*AR111</f>
        <v>14566.800000000001</v>
      </c>
      <c r="AY111" s="119">
        <f t="shared" ref="AY111:AZ146" si="135">AP111+AW111</f>
        <v>17867.51666666667</v>
      </c>
      <c r="AZ111" s="120">
        <f t="shared" si="135"/>
        <v>21441.02</v>
      </c>
      <c r="BA111" s="9"/>
      <c r="BB111" s="9"/>
      <c r="BC111" s="9"/>
      <c r="BD111" s="9"/>
      <c r="BE111" s="37"/>
      <c r="BF111" s="37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  <c r="CG111" s="35"/>
      <c r="CH111" s="35"/>
      <c r="CI111" s="35"/>
      <c r="CJ111" s="35"/>
      <c r="CK111" s="35"/>
      <c r="CL111" s="35"/>
      <c r="CM111" s="35"/>
      <c r="CN111" s="35"/>
      <c r="CO111" s="35"/>
    </row>
    <row r="112" spans="1:93" s="4" customFormat="1" ht="320.25" outlineLevel="1" x14ac:dyDescent="0.25">
      <c r="A112" s="111">
        <f t="shared" ref="A112:A115" si="136">A111+1</f>
        <v>82</v>
      </c>
      <c r="B112" s="112" t="s">
        <v>18</v>
      </c>
      <c r="C112" s="113" t="s">
        <v>119</v>
      </c>
      <c r="D112" s="114" t="s">
        <v>19</v>
      </c>
      <c r="E112" s="115">
        <f t="shared" si="115"/>
        <v>379.7</v>
      </c>
      <c r="F112" s="116">
        <v>0</v>
      </c>
      <c r="G112" s="116">
        <f t="shared" si="106"/>
        <v>16.666666666666668</v>
      </c>
      <c r="H112" s="116">
        <v>20</v>
      </c>
      <c r="I112" s="116">
        <f t="shared" si="123"/>
        <v>0</v>
      </c>
      <c r="J112" s="115">
        <v>33.700000000000003</v>
      </c>
      <c r="K112" s="116">
        <f t="shared" si="107"/>
        <v>12.916666666666668</v>
      </c>
      <c r="L112" s="116">
        <v>15.5</v>
      </c>
      <c r="M112" s="116">
        <f t="shared" si="124"/>
        <v>522.35</v>
      </c>
      <c r="N112" s="117">
        <v>112.7</v>
      </c>
      <c r="O112" s="116">
        <f t="shared" si="108"/>
        <v>4.666666666666667</v>
      </c>
      <c r="P112" s="116">
        <v>5.6</v>
      </c>
      <c r="Q112" s="116">
        <f t="shared" si="125"/>
        <v>631.12</v>
      </c>
      <c r="R112" s="115">
        <v>0</v>
      </c>
      <c r="S112" s="116">
        <f t="shared" si="117"/>
        <v>15.583333333333334</v>
      </c>
      <c r="T112" s="116">
        <v>18.7</v>
      </c>
      <c r="U112" s="116">
        <f t="shared" si="126"/>
        <v>0</v>
      </c>
      <c r="V112" s="116">
        <v>10.3</v>
      </c>
      <c r="W112" s="116">
        <f t="shared" si="109"/>
        <v>6.416666666666667</v>
      </c>
      <c r="X112" s="116">
        <v>7.7</v>
      </c>
      <c r="Y112" s="116">
        <f t="shared" si="127"/>
        <v>79.31</v>
      </c>
      <c r="Z112" s="115">
        <v>119.1</v>
      </c>
      <c r="AA112" s="116">
        <f t="shared" si="110"/>
        <v>6</v>
      </c>
      <c r="AB112" s="116">
        <v>7.2</v>
      </c>
      <c r="AC112" s="116">
        <f t="shared" si="128"/>
        <v>857.52</v>
      </c>
      <c r="AD112" s="116">
        <v>0</v>
      </c>
      <c r="AE112" s="116">
        <f t="shared" si="111"/>
        <v>4.666666666666667</v>
      </c>
      <c r="AF112" s="116">
        <v>5.6</v>
      </c>
      <c r="AG112" s="116">
        <f t="shared" si="129"/>
        <v>0</v>
      </c>
      <c r="AH112" s="117">
        <v>98.2</v>
      </c>
      <c r="AI112" s="116">
        <f t="shared" si="112"/>
        <v>8.3333333333333339</v>
      </c>
      <c r="AJ112" s="116">
        <v>10</v>
      </c>
      <c r="AK112" s="116">
        <f t="shared" si="130"/>
        <v>982</v>
      </c>
      <c r="AL112" s="117">
        <v>5.7</v>
      </c>
      <c r="AM112" s="116">
        <f t="shared" si="116"/>
        <v>12.750000000000002</v>
      </c>
      <c r="AN112" s="116">
        <v>15.3</v>
      </c>
      <c r="AO112" s="116">
        <f t="shared" si="131"/>
        <v>87.210000000000008</v>
      </c>
      <c r="AP112" s="116">
        <f t="shared" si="113"/>
        <v>2632.9250000000002</v>
      </c>
      <c r="AQ112" s="116">
        <f t="shared" si="132"/>
        <v>3159.51</v>
      </c>
      <c r="AR112" s="117">
        <v>246</v>
      </c>
      <c r="AS112" s="116" t="s">
        <v>210</v>
      </c>
      <c r="AT112" s="118">
        <v>0</v>
      </c>
      <c r="AU112" s="118">
        <f t="shared" si="114"/>
        <v>6.1000000000000005</v>
      </c>
      <c r="AV112" s="144">
        <v>7.32</v>
      </c>
      <c r="AW112" s="118">
        <f t="shared" si="133"/>
        <v>1500.6000000000001</v>
      </c>
      <c r="AX112" s="118">
        <f t="shared" si="134"/>
        <v>1800.72</v>
      </c>
      <c r="AY112" s="119">
        <f t="shared" si="135"/>
        <v>4133.5250000000005</v>
      </c>
      <c r="AZ112" s="120">
        <f t="shared" si="135"/>
        <v>4960.2300000000005</v>
      </c>
      <c r="BA112" s="9"/>
      <c r="BB112" s="9"/>
      <c r="BC112" s="9"/>
      <c r="BD112" s="9"/>
      <c r="BE112" s="37"/>
      <c r="BF112" s="37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  <c r="CG112" s="35"/>
      <c r="CH112" s="35"/>
      <c r="CI112" s="35"/>
      <c r="CJ112" s="35"/>
      <c r="CK112" s="35"/>
      <c r="CL112" s="35"/>
      <c r="CM112" s="35"/>
      <c r="CN112" s="35"/>
      <c r="CO112" s="35"/>
    </row>
    <row r="113" spans="1:93" s="4" customFormat="1" ht="320.25" outlineLevel="1" x14ac:dyDescent="0.25">
      <c r="A113" s="111">
        <f t="shared" si="136"/>
        <v>83</v>
      </c>
      <c r="B113" s="112" t="s">
        <v>180</v>
      </c>
      <c r="C113" s="113" t="s">
        <v>149</v>
      </c>
      <c r="D113" s="114" t="s">
        <v>19</v>
      </c>
      <c r="E113" s="115">
        <f t="shared" si="115"/>
        <v>3452.5999999999995</v>
      </c>
      <c r="F113" s="116">
        <v>0</v>
      </c>
      <c r="G113" s="116">
        <f t="shared" si="106"/>
        <v>16.666666666666668</v>
      </c>
      <c r="H113" s="116">
        <v>20</v>
      </c>
      <c r="I113" s="116">
        <f t="shared" si="123"/>
        <v>0</v>
      </c>
      <c r="J113" s="115">
        <v>1182.8</v>
      </c>
      <c r="K113" s="116">
        <f t="shared" si="107"/>
        <v>12.916666666666668</v>
      </c>
      <c r="L113" s="116">
        <v>15.5</v>
      </c>
      <c r="M113" s="116">
        <f t="shared" si="124"/>
        <v>18333.399999999998</v>
      </c>
      <c r="N113" s="117">
        <v>439.2</v>
      </c>
      <c r="O113" s="116">
        <f t="shared" si="108"/>
        <v>4.666666666666667</v>
      </c>
      <c r="P113" s="116">
        <v>5.6</v>
      </c>
      <c r="Q113" s="116">
        <f t="shared" si="125"/>
        <v>2459.52</v>
      </c>
      <c r="R113" s="115">
        <v>0</v>
      </c>
      <c r="S113" s="116">
        <f t="shared" si="117"/>
        <v>15.583333333333334</v>
      </c>
      <c r="T113" s="116">
        <v>18.7</v>
      </c>
      <c r="U113" s="116">
        <f t="shared" si="126"/>
        <v>0</v>
      </c>
      <c r="V113" s="116">
        <v>323.2</v>
      </c>
      <c r="W113" s="116">
        <f t="shared" si="109"/>
        <v>6.416666666666667</v>
      </c>
      <c r="X113" s="116">
        <v>7.7</v>
      </c>
      <c r="Y113" s="116">
        <f t="shared" si="127"/>
        <v>2488.64</v>
      </c>
      <c r="Z113" s="115">
        <v>469.5</v>
      </c>
      <c r="AA113" s="116">
        <f t="shared" si="110"/>
        <v>6</v>
      </c>
      <c r="AB113" s="116">
        <v>7.2</v>
      </c>
      <c r="AC113" s="116">
        <f t="shared" si="128"/>
        <v>3380.4</v>
      </c>
      <c r="AD113" s="116">
        <v>215.1</v>
      </c>
      <c r="AE113" s="116">
        <f t="shared" si="111"/>
        <v>4.666666666666667</v>
      </c>
      <c r="AF113" s="116">
        <v>5.6</v>
      </c>
      <c r="AG113" s="116">
        <f t="shared" si="129"/>
        <v>1204.56</v>
      </c>
      <c r="AH113" s="117">
        <v>753.1</v>
      </c>
      <c r="AI113" s="116">
        <f t="shared" si="112"/>
        <v>8.3333333333333339</v>
      </c>
      <c r="AJ113" s="116">
        <v>10</v>
      </c>
      <c r="AK113" s="116">
        <f t="shared" si="130"/>
        <v>7531</v>
      </c>
      <c r="AL113" s="117">
        <v>69.7</v>
      </c>
      <c r="AM113" s="116">
        <f t="shared" si="116"/>
        <v>12.750000000000002</v>
      </c>
      <c r="AN113" s="116">
        <v>15.3</v>
      </c>
      <c r="AO113" s="116">
        <f t="shared" si="131"/>
        <v>1066.4100000000001</v>
      </c>
      <c r="AP113" s="116">
        <f t="shared" si="113"/>
        <v>30386.608333333341</v>
      </c>
      <c r="AQ113" s="116">
        <f t="shared" si="132"/>
        <v>36463.930000000008</v>
      </c>
      <c r="AR113" s="117">
        <v>615</v>
      </c>
      <c r="AS113" s="116" t="s">
        <v>210</v>
      </c>
      <c r="AT113" s="118">
        <v>0</v>
      </c>
      <c r="AU113" s="118">
        <f t="shared" si="114"/>
        <v>6.1000000000000005</v>
      </c>
      <c r="AV113" s="144">
        <v>7.32</v>
      </c>
      <c r="AW113" s="118">
        <f t="shared" si="133"/>
        <v>3751.5000000000005</v>
      </c>
      <c r="AX113" s="118">
        <f t="shared" si="134"/>
        <v>4501.8</v>
      </c>
      <c r="AY113" s="119">
        <f t="shared" si="135"/>
        <v>34138.108333333344</v>
      </c>
      <c r="AZ113" s="120">
        <f t="shared" si="135"/>
        <v>40965.73000000001</v>
      </c>
      <c r="BA113" s="9"/>
      <c r="BB113" s="9"/>
      <c r="BC113" s="9"/>
      <c r="BD113" s="9"/>
      <c r="BE113" s="37"/>
      <c r="BF113" s="37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</row>
    <row r="114" spans="1:93" s="4" customFormat="1" ht="320.25" outlineLevel="1" x14ac:dyDescent="0.25">
      <c r="A114" s="111">
        <f t="shared" si="136"/>
        <v>84</v>
      </c>
      <c r="B114" s="112" t="s">
        <v>180</v>
      </c>
      <c r="C114" s="113" t="s">
        <v>120</v>
      </c>
      <c r="D114" s="114" t="s">
        <v>19</v>
      </c>
      <c r="E114" s="115">
        <f t="shared" si="115"/>
        <v>480.70000000000005</v>
      </c>
      <c r="F114" s="116">
        <v>0</v>
      </c>
      <c r="G114" s="116">
        <f t="shared" si="106"/>
        <v>16.666666666666668</v>
      </c>
      <c r="H114" s="116">
        <v>20</v>
      </c>
      <c r="I114" s="116">
        <f t="shared" si="123"/>
        <v>0</v>
      </c>
      <c r="J114" s="115">
        <v>142</v>
      </c>
      <c r="K114" s="116">
        <f t="shared" si="107"/>
        <v>12.916666666666668</v>
      </c>
      <c r="L114" s="116">
        <v>15.5</v>
      </c>
      <c r="M114" s="116">
        <f t="shared" si="124"/>
        <v>2201</v>
      </c>
      <c r="N114" s="117">
        <v>97.9</v>
      </c>
      <c r="O114" s="116">
        <f t="shared" si="108"/>
        <v>4.666666666666667</v>
      </c>
      <c r="P114" s="116">
        <v>5.6</v>
      </c>
      <c r="Q114" s="116">
        <f t="shared" si="125"/>
        <v>548.24</v>
      </c>
      <c r="R114" s="115">
        <v>0</v>
      </c>
      <c r="S114" s="116">
        <f t="shared" si="117"/>
        <v>15.583333333333334</v>
      </c>
      <c r="T114" s="116">
        <v>18.7</v>
      </c>
      <c r="U114" s="116">
        <f t="shared" si="126"/>
        <v>0</v>
      </c>
      <c r="V114" s="116">
        <v>29.2</v>
      </c>
      <c r="W114" s="116">
        <f t="shared" si="109"/>
        <v>6.416666666666667</v>
      </c>
      <c r="X114" s="116">
        <v>7.7</v>
      </c>
      <c r="Y114" s="116">
        <f t="shared" si="127"/>
        <v>224.84</v>
      </c>
      <c r="Z114" s="115">
        <v>66.8</v>
      </c>
      <c r="AA114" s="116">
        <f t="shared" si="110"/>
        <v>6</v>
      </c>
      <c r="AB114" s="116">
        <v>7.2</v>
      </c>
      <c r="AC114" s="116">
        <f t="shared" si="128"/>
        <v>480.96</v>
      </c>
      <c r="AD114" s="116">
        <v>0</v>
      </c>
      <c r="AE114" s="116">
        <f t="shared" si="111"/>
        <v>4.666666666666667</v>
      </c>
      <c r="AF114" s="116">
        <v>5.6</v>
      </c>
      <c r="AG114" s="116">
        <f t="shared" si="129"/>
        <v>0</v>
      </c>
      <c r="AH114" s="117">
        <v>130.69999999999999</v>
      </c>
      <c r="AI114" s="116">
        <f t="shared" si="112"/>
        <v>8.3333333333333339</v>
      </c>
      <c r="AJ114" s="116">
        <v>10</v>
      </c>
      <c r="AK114" s="116">
        <f t="shared" si="130"/>
        <v>1307</v>
      </c>
      <c r="AL114" s="117">
        <v>14.1</v>
      </c>
      <c r="AM114" s="116">
        <f t="shared" si="116"/>
        <v>12.750000000000002</v>
      </c>
      <c r="AN114" s="116">
        <v>15.3</v>
      </c>
      <c r="AO114" s="116">
        <f t="shared" si="131"/>
        <v>215.73000000000002</v>
      </c>
      <c r="AP114" s="116">
        <f t="shared" si="113"/>
        <v>4148.1416666666673</v>
      </c>
      <c r="AQ114" s="116">
        <f t="shared" si="132"/>
        <v>4977.7700000000004</v>
      </c>
      <c r="AR114" s="117">
        <v>960</v>
      </c>
      <c r="AS114" s="116" t="s">
        <v>210</v>
      </c>
      <c r="AT114" s="118">
        <v>0</v>
      </c>
      <c r="AU114" s="118">
        <f t="shared" si="114"/>
        <v>6.1000000000000005</v>
      </c>
      <c r="AV114" s="144">
        <v>7.32</v>
      </c>
      <c r="AW114" s="118">
        <f t="shared" si="133"/>
        <v>5856.0000000000009</v>
      </c>
      <c r="AX114" s="118">
        <f t="shared" si="134"/>
        <v>7027.2000000000007</v>
      </c>
      <c r="AY114" s="119">
        <f t="shared" si="135"/>
        <v>10004.141666666668</v>
      </c>
      <c r="AZ114" s="120">
        <f t="shared" si="135"/>
        <v>12004.970000000001</v>
      </c>
      <c r="BA114" s="9"/>
      <c r="BB114" s="9"/>
      <c r="BC114" s="9"/>
      <c r="BD114" s="9"/>
      <c r="BE114" s="37"/>
      <c r="BF114" s="37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</row>
    <row r="115" spans="1:93" s="4" customFormat="1" ht="366" outlineLevel="1" x14ac:dyDescent="0.25">
      <c r="A115" s="111">
        <f t="shared" si="136"/>
        <v>85</v>
      </c>
      <c r="B115" s="112" t="s">
        <v>18</v>
      </c>
      <c r="C115" s="113" t="s">
        <v>212</v>
      </c>
      <c r="D115" s="114" t="s">
        <v>19</v>
      </c>
      <c r="E115" s="115">
        <f t="shared" si="115"/>
        <v>73.7</v>
      </c>
      <c r="F115" s="116">
        <v>0</v>
      </c>
      <c r="G115" s="116">
        <f t="shared" si="106"/>
        <v>16.666666666666668</v>
      </c>
      <c r="H115" s="116">
        <v>20</v>
      </c>
      <c r="I115" s="116">
        <f t="shared" ref="I115" si="137">H115*F115</f>
        <v>0</v>
      </c>
      <c r="J115" s="115">
        <v>0</v>
      </c>
      <c r="K115" s="116">
        <f t="shared" si="107"/>
        <v>12.916666666666668</v>
      </c>
      <c r="L115" s="116">
        <v>15.5</v>
      </c>
      <c r="M115" s="116">
        <f t="shared" ref="M115" si="138">L115*J115</f>
        <v>0</v>
      </c>
      <c r="N115" s="117">
        <v>36.1</v>
      </c>
      <c r="O115" s="116">
        <f t="shared" si="108"/>
        <v>4.666666666666667</v>
      </c>
      <c r="P115" s="116">
        <v>5.6</v>
      </c>
      <c r="Q115" s="116">
        <f t="shared" ref="Q115" si="139">P115*N115</f>
        <v>202.16</v>
      </c>
      <c r="R115" s="115">
        <v>0</v>
      </c>
      <c r="S115" s="116">
        <f t="shared" si="117"/>
        <v>15.583333333333334</v>
      </c>
      <c r="T115" s="116">
        <v>18.7</v>
      </c>
      <c r="U115" s="116">
        <f t="shared" ref="U115" si="140">T115*R115</f>
        <v>0</v>
      </c>
      <c r="V115" s="116">
        <v>0</v>
      </c>
      <c r="W115" s="116">
        <f t="shared" si="109"/>
        <v>6.416666666666667</v>
      </c>
      <c r="X115" s="116">
        <v>7.7</v>
      </c>
      <c r="Y115" s="116">
        <f t="shared" ref="Y115" si="141">X115*V115</f>
        <v>0</v>
      </c>
      <c r="Z115" s="115">
        <v>21.1</v>
      </c>
      <c r="AA115" s="116">
        <f t="shared" si="110"/>
        <v>6</v>
      </c>
      <c r="AB115" s="116">
        <v>7.2</v>
      </c>
      <c r="AC115" s="116">
        <f t="shared" ref="AC115" si="142">AB115*Z115</f>
        <v>151.92000000000002</v>
      </c>
      <c r="AD115" s="116">
        <v>0</v>
      </c>
      <c r="AE115" s="116">
        <f t="shared" si="111"/>
        <v>4.666666666666667</v>
      </c>
      <c r="AF115" s="116">
        <v>5.6</v>
      </c>
      <c r="AG115" s="116">
        <f t="shared" ref="AG115" si="143">AF115*AD115</f>
        <v>0</v>
      </c>
      <c r="AH115" s="117">
        <v>12.9</v>
      </c>
      <c r="AI115" s="116">
        <f t="shared" si="112"/>
        <v>8.3333333333333339</v>
      </c>
      <c r="AJ115" s="116">
        <v>10</v>
      </c>
      <c r="AK115" s="116">
        <f t="shared" ref="AK115" si="144">AJ115*AH115</f>
        <v>129</v>
      </c>
      <c r="AL115" s="117">
        <v>3.6</v>
      </c>
      <c r="AM115" s="116">
        <f t="shared" si="116"/>
        <v>12.750000000000002</v>
      </c>
      <c r="AN115" s="116">
        <v>15.3</v>
      </c>
      <c r="AO115" s="116">
        <f t="shared" ref="AO115" si="145">AN115*AL115</f>
        <v>55.080000000000005</v>
      </c>
      <c r="AP115" s="116">
        <f t="shared" si="113"/>
        <v>448.46666666666675</v>
      </c>
      <c r="AQ115" s="116">
        <f t="shared" ref="AQ115" si="146">I115+M115+Q115+U115+Y115+AC115+AG115+AK115+AO115</f>
        <v>538.16000000000008</v>
      </c>
      <c r="AR115" s="117">
        <v>200</v>
      </c>
      <c r="AS115" s="116" t="s">
        <v>210</v>
      </c>
      <c r="AT115" s="118">
        <v>0</v>
      </c>
      <c r="AU115" s="118">
        <f t="shared" si="114"/>
        <v>6.1000000000000005</v>
      </c>
      <c r="AV115" s="144">
        <v>7.32</v>
      </c>
      <c r="AW115" s="118">
        <f t="shared" ref="AW115" si="147">AU115*AR115</f>
        <v>1220</v>
      </c>
      <c r="AX115" s="118">
        <f t="shared" ref="AX115" si="148">AV115*AR115</f>
        <v>1464</v>
      </c>
      <c r="AY115" s="119">
        <f t="shared" ref="AY115" si="149">AP115+AW115</f>
        <v>1668.4666666666667</v>
      </c>
      <c r="AZ115" s="120">
        <f t="shared" ref="AZ115" si="150">AQ115+AX115</f>
        <v>2002.16</v>
      </c>
      <c r="BA115" s="9"/>
      <c r="BB115" s="9"/>
      <c r="BC115" s="9"/>
      <c r="BD115" s="9"/>
      <c r="BE115" s="37"/>
      <c r="BF115" s="37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</row>
    <row r="116" spans="1:93" s="4" customFormat="1" ht="45.75" outlineLevel="1" x14ac:dyDescent="0.25">
      <c r="A116" s="160" t="s">
        <v>154</v>
      </c>
      <c r="B116" s="161"/>
      <c r="C116" s="161"/>
      <c r="D116" s="124"/>
      <c r="E116" s="115"/>
      <c r="F116" s="124"/>
      <c r="G116" s="116"/>
      <c r="H116" s="124"/>
      <c r="I116" s="124"/>
      <c r="J116" s="124"/>
      <c r="K116" s="116"/>
      <c r="L116" s="116"/>
      <c r="M116" s="124"/>
      <c r="N116" s="124"/>
      <c r="O116" s="116"/>
      <c r="P116" s="116"/>
      <c r="Q116" s="124"/>
      <c r="R116" s="124"/>
      <c r="S116" s="116"/>
      <c r="T116" s="116"/>
      <c r="U116" s="124"/>
      <c r="V116" s="124"/>
      <c r="W116" s="116"/>
      <c r="X116" s="116"/>
      <c r="Y116" s="124"/>
      <c r="Z116" s="124"/>
      <c r="AA116" s="116"/>
      <c r="AB116" s="116"/>
      <c r="AC116" s="124"/>
      <c r="AD116" s="124"/>
      <c r="AE116" s="116"/>
      <c r="AF116" s="116"/>
      <c r="AG116" s="124"/>
      <c r="AH116" s="124"/>
      <c r="AI116" s="116"/>
      <c r="AJ116" s="116"/>
      <c r="AK116" s="124"/>
      <c r="AL116" s="124"/>
      <c r="AM116" s="116"/>
      <c r="AN116" s="116"/>
      <c r="AO116" s="124"/>
      <c r="AP116" s="116"/>
      <c r="AQ116" s="125"/>
      <c r="AR116" s="124"/>
      <c r="AS116" s="116"/>
      <c r="AT116" s="126"/>
      <c r="AU116" s="118"/>
      <c r="AV116" s="144"/>
      <c r="AW116" s="126"/>
      <c r="AX116" s="126"/>
      <c r="AY116" s="127"/>
      <c r="AZ116" s="128"/>
      <c r="BA116" s="9"/>
      <c r="BB116" s="9"/>
      <c r="BC116" s="9"/>
      <c r="BD116" s="9"/>
      <c r="BE116" s="37"/>
      <c r="BF116" s="37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</row>
    <row r="117" spans="1:93" s="4" customFormat="1" ht="228.75" customHeight="1" outlineLevel="1" x14ac:dyDescent="0.85">
      <c r="A117" s="111">
        <v>86</v>
      </c>
      <c r="B117" s="112" t="s">
        <v>177</v>
      </c>
      <c r="C117" s="113" t="s">
        <v>122</v>
      </c>
      <c r="D117" s="114" t="s">
        <v>19</v>
      </c>
      <c r="E117" s="115">
        <f t="shared" si="115"/>
        <v>1517.8</v>
      </c>
      <c r="F117" s="116">
        <v>0</v>
      </c>
      <c r="G117" s="116">
        <f t="shared" si="106"/>
        <v>16.666666666666668</v>
      </c>
      <c r="H117" s="116">
        <v>20</v>
      </c>
      <c r="I117" s="116">
        <f>H117*F117</f>
        <v>0</v>
      </c>
      <c r="J117" s="115">
        <v>258.8</v>
      </c>
      <c r="K117" s="116">
        <f t="shared" si="107"/>
        <v>12.916666666666668</v>
      </c>
      <c r="L117" s="116">
        <v>15.5</v>
      </c>
      <c r="M117" s="116">
        <f>L117*J117</f>
        <v>4011.4</v>
      </c>
      <c r="N117" s="117">
        <v>330.3</v>
      </c>
      <c r="O117" s="116">
        <f t="shared" si="108"/>
        <v>4.666666666666667</v>
      </c>
      <c r="P117" s="116">
        <v>5.6</v>
      </c>
      <c r="Q117" s="116">
        <f>P117*N117</f>
        <v>1849.6799999999998</v>
      </c>
      <c r="R117" s="115">
        <v>0</v>
      </c>
      <c r="S117" s="116">
        <f t="shared" si="117"/>
        <v>15.583333333333334</v>
      </c>
      <c r="T117" s="116">
        <v>18.7</v>
      </c>
      <c r="U117" s="116">
        <f>T117*R117</f>
        <v>0</v>
      </c>
      <c r="V117" s="116">
        <v>91.3</v>
      </c>
      <c r="W117" s="116">
        <f t="shared" si="109"/>
        <v>6.416666666666667</v>
      </c>
      <c r="X117" s="116">
        <v>7.7</v>
      </c>
      <c r="Y117" s="116">
        <f>X117*V117</f>
        <v>703.01</v>
      </c>
      <c r="Z117" s="115">
        <v>277.3</v>
      </c>
      <c r="AA117" s="116">
        <f t="shared" si="110"/>
        <v>6</v>
      </c>
      <c r="AB117" s="116">
        <v>7.2</v>
      </c>
      <c r="AC117" s="116">
        <f>AB117*Z117</f>
        <v>1996.5600000000002</v>
      </c>
      <c r="AD117" s="116">
        <v>0</v>
      </c>
      <c r="AE117" s="116">
        <f t="shared" si="111"/>
        <v>4.666666666666667</v>
      </c>
      <c r="AF117" s="116">
        <v>5.6</v>
      </c>
      <c r="AG117" s="116">
        <f>AF117*AD117</f>
        <v>0</v>
      </c>
      <c r="AH117" s="117">
        <v>524.4</v>
      </c>
      <c r="AI117" s="116">
        <f t="shared" si="112"/>
        <v>8.3333333333333339</v>
      </c>
      <c r="AJ117" s="116">
        <v>10</v>
      </c>
      <c r="AK117" s="116">
        <f>AJ117*AH117</f>
        <v>5244</v>
      </c>
      <c r="AL117" s="117">
        <v>35.700000000000003</v>
      </c>
      <c r="AM117" s="116">
        <f t="shared" si="116"/>
        <v>12.750000000000002</v>
      </c>
      <c r="AN117" s="116">
        <v>15.3</v>
      </c>
      <c r="AO117" s="116">
        <f>AN117*AL117</f>
        <v>546.21</v>
      </c>
      <c r="AP117" s="116">
        <f t="shared" si="113"/>
        <v>11959.050000000001</v>
      </c>
      <c r="AQ117" s="116">
        <f t="shared" si="132"/>
        <v>14350.86</v>
      </c>
      <c r="AR117" s="117">
        <f>696+160</f>
        <v>856</v>
      </c>
      <c r="AS117" s="116" t="s">
        <v>210</v>
      </c>
      <c r="AT117" s="118">
        <v>0</v>
      </c>
      <c r="AU117" s="118">
        <f t="shared" si="114"/>
        <v>6.1000000000000005</v>
      </c>
      <c r="AV117" s="144">
        <v>7.32</v>
      </c>
      <c r="AW117" s="118">
        <f>AU117*AR117</f>
        <v>5221.6000000000004</v>
      </c>
      <c r="AX117" s="118">
        <f>AV117*AR117</f>
        <v>6265.92</v>
      </c>
      <c r="AY117" s="119">
        <f t="shared" si="135"/>
        <v>17180.650000000001</v>
      </c>
      <c r="AZ117" s="120">
        <f t="shared" si="135"/>
        <v>20616.78</v>
      </c>
      <c r="BA117" s="152"/>
      <c r="BB117" s="153"/>
      <c r="BC117" s="153"/>
      <c r="BD117" s="153"/>
      <c r="BE117" s="37"/>
      <c r="BF117" s="37"/>
      <c r="BG117" s="35"/>
      <c r="BH117" s="35"/>
      <c r="BI117" s="35"/>
      <c r="BJ117" s="35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/>
      <c r="BY117" s="35"/>
      <c r="BZ117" s="35"/>
      <c r="CA117" s="35"/>
      <c r="CB117" s="35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  <c r="CO117" s="35"/>
    </row>
    <row r="118" spans="1:93" s="4" customFormat="1" ht="228.75" outlineLevel="1" x14ac:dyDescent="0.85">
      <c r="A118" s="111">
        <f>A117+1</f>
        <v>87</v>
      </c>
      <c r="B118" s="112" t="s">
        <v>18</v>
      </c>
      <c r="C118" s="113" t="s">
        <v>123</v>
      </c>
      <c r="D118" s="114" t="s">
        <v>19</v>
      </c>
      <c r="E118" s="115">
        <f t="shared" si="115"/>
        <v>440.00000000000006</v>
      </c>
      <c r="F118" s="116">
        <v>0</v>
      </c>
      <c r="G118" s="116">
        <f t="shared" si="106"/>
        <v>16.666666666666668</v>
      </c>
      <c r="H118" s="116">
        <v>20</v>
      </c>
      <c r="I118" s="116">
        <f>H118*F118</f>
        <v>0</v>
      </c>
      <c r="J118" s="115">
        <v>62.9</v>
      </c>
      <c r="K118" s="116">
        <f t="shared" si="107"/>
        <v>12.916666666666668</v>
      </c>
      <c r="L118" s="116">
        <v>15.5</v>
      </c>
      <c r="M118" s="116">
        <f>L118*J118</f>
        <v>974.94999999999993</v>
      </c>
      <c r="N118" s="117">
        <v>171.3</v>
      </c>
      <c r="O118" s="116">
        <f t="shared" si="108"/>
        <v>4.666666666666667</v>
      </c>
      <c r="P118" s="116">
        <v>5.6</v>
      </c>
      <c r="Q118" s="116">
        <f>P118*N118</f>
        <v>959.28</v>
      </c>
      <c r="R118" s="115">
        <v>0</v>
      </c>
      <c r="S118" s="116">
        <f t="shared" si="117"/>
        <v>15.583333333333334</v>
      </c>
      <c r="T118" s="116">
        <v>18.7</v>
      </c>
      <c r="U118" s="116">
        <f>T118*R118</f>
        <v>0</v>
      </c>
      <c r="V118" s="116">
        <v>11.8</v>
      </c>
      <c r="W118" s="116">
        <f t="shared" si="109"/>
        <v>6.416666666666667</v>
      </c>
      <c r="X118" s="116">
        <v>7.7</v>
      </c>
      <c r="Y118" s="116">
        <f>X118*V118</f>
        <v>90.860000000000014</v>
      </c>
      <c r="Z118" s="115">
        <v>41.7</v>
      </c>
      <c r="AA118" s="116">
        <f t="shared" si="110"/>
        <v>6</v>
      </c>
      <c r="AB118" s="116">
        <v>7.2</v>
      </c>
      <c r="AC118" s="116">
        <f>AB118*Z118</f>
        <v>300.24</v>
      </c>
      <c r="AD118" s="116">
        <v>0</v>
      </c>
      <c r="AE118" s="116">
        <f t="shared" si="111"/>
        <v>4.666666666666667</v>
      </c>
      <c r="AF118" s="116">
        <v>5.6</v>
      </c>
      <c r="AG118" s="116">
        <f>AF118*AD118</f>
        <v>0</v>
      </c>
      <c r="AH118" s="117">
        <v>141.69999999999999</v>
      </c>
      <c r="AI118" s="116">
        <f t="shared" si="112"/>
        <v>8.3333333333333339</v>
      </c>
      <c r="AJ118" s="116">
        <v>10</v>
      </c>
      <c r="AK118" s="116">
        <f>AJ118*AH118</f>
        <v>1417</v>
      </c>
      <c r="AL118" s="117">
        <v>10.6</v>
      </c>
      <c r="AM118" s="116">
        <f t="shared" si="116"/>
        <v>12.750000000000002</v>
      </c>
      <c r="AN118" s="116">
        <v>15.3</v>
      </c>
      <c r="AO118" s="116">
        <f>AN118*AL118</f>
        <v>162.18</v>
      </c>
      <c r="AP118" s="116">
        <f t="shared" si="113"/>
        <v>3253.7583333333332</v>
      </c>
      <c r="AQ118" s="116">
        <f t="shared" si="132"/>
        <v>3904.5099999999998</v>
      </c>
      <c r="AR118" s="117">
        <v>1010</v>
      </c>
      <c r="AS118" s="116" t="s">
        <v>210</v>
      </c>
      <c r="AT118" s="118">
        <v>0</v>
      </c>
      <c r="AU118" s="118">
        <f t="shared" si="114"/>
        <v>6.1000000000000005</v>
      </c>
      <c r="AV118" s="144">
        <v>7.32</v>
      </c>
      <c r="AW118" s="118">
        <f>AU118*AR118</f>
        <v>6161.0000000000009</v>
      </c>
      <c r="AX118" s="118">
        <f>AV118*AR118</f>
        <v>7393.2000000000007</v>
      </c>
      <c r="AY118" s="119">
        <f t="shared" si="135"/>
        <v>9414.758333333335</v>
      </c>
      <c r="AZ118" s="120">
        <f t="shared" si="135"/>
        <v>11297.710000000001</v>
      </c>
      <c r="BA118" s="152"/>
      <c r="BB118" s="153"/>
      <c r="BC118" s="153"/>
      <c r="BD118" s="153"/>
      <c r="BE118" s="37"/>
      <c r="BF118" s="37"/>
      <c r="BG118" s="35"/>
      <c r="BH118" s="35"/>
      <c r="BI118" s="35"/>
      <c r="BJ118" s="35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  <c r="CO118" s="35"/>
    </row>
    <row r="119" spans="1:93" s="54" customFormat="1" ht="274.5" customHeight="1" outlineLevel="1" x14ac:dyDescent="0.6">
      <c r="A119" s="111">
        <f>A118+1</f>
        <v>88</v>
      </c>
      <c r="B119" s="112" t="s">
        <v>18</v>
      </c>
      <c r="C119" s="113" t="s">
        <v>124</v>
      </c>
      <c r="D119" s="114" t="s">
        <v>19</v>
      </c>
      <c r="E119" s="115">
        <f t="shared" si="115"/>
        <v>750.8</v>
      </c>
      <c r="F119" s="116">
        <v>0</v>
      </c>
      <c r="G119" s="116">
        <f t="shared" si="106"/>
        <v>16.666666666666668</v>
      </c>
      <c r="H119" s="116">
        <v>20</v>
      </c>
      <c r="I119" s="116">
        <f>H119*F119</f>
        <v>0</v>
      </c>
      <c r="J119" s="115">
        <v>185.9</v>
      </c>
      <c r="K119" s="116">
        <f t="shared" si="107"/>
        <v>12.916666666666668</v>
      </c>
      <c r="L119" s="116">
        <v>15.5</v>
      </c>
      <c r="M119" s="116">
        <f>L119*J119</f>
        <v>2881.4500000000003</v>
      </c>
      <c r="N119" s="117">
        <v>234.4</v>
      </c>
      <c r="O119" s="116">
        <f t="shared" si="108"/>
        <v>4.666666666666667</v>
      </c>
      <c r="P119" s="116">
        <v>5.6</v>
      </c>
      <c r="Q119" s="116">
        <f>P119*N119</f>
        <v>1312.6399999999999</v>
      </c>
      <c r="R119" s="115">
        <v>0</v>
      </c>
      <c r="S119" s="116">
        <f t="shared" si="117"/>
        <v>15.583333333333334</v>
      </c>
      <c r="T119" s="116">
        <v>18.7</v>
      </c>
      <c r="U119" s="116">
        <f>T119*R119</f>
        <v>0</v>
      </c>
      <c r="V119" s="116">
        <v>50.7</v>
      </c>
      <c r="W119" s="116">
        <f t="shared" si="109"/>
        <v>6.416666666666667</v>
      </c>
      <c r="X119" s="116">
        <v>7.7</v>
      </c>
      <c r="Y119" s="116">
        <f>X119*V119</f>
        <v>390.39000000000004</v>
      </c>
      <c r="Z119" s="115">
        <v>20.9</v>
      </c>
      <c r="AA119" s="116">
        <f t="shared" si="110"/>
        <v>6</v>
      </c>
      <c r="AB119" s="116">
        <v>7.2</v>
      </c>
      <c r="AC119" s="116">
        <f>AB119*Z119</f>
        <v>150.47999999999999</v>
      </c>
      <c r="AD119" s="116">
        <v>0</v>
      </c>
      <c r="AE119" s="116">
        <f t="shared" si="111"/>
        <v>4.666666666666667</v>
      </c>
      <c r="AF119" s="116">
        <v>5.6</v>
      </c>
      <c r="AG119" s="116">
        <f>AF119*AD119</f>
        <v>0</v>
      </c>
      <c r="AH119" s="117">
        <v>221.1</v>
      </c>
      <c r="AI119" s="116">
        <f t="shared" si="112"/>
        <v>8.3333333333333339</v>
      </c>
      <c r="AJ119" s="116">
        <v>10</v>
      </c>
      <c r="AK119" s="116">
        <f>AJ119*AH119</f>
        <v>2211</v>
      </c>
      <c r="AL119" s="117">
        <v>37.799999999999997</v>
      </c>
      <c r="AM119" s="116">
        <f t="shared" si="116"/>
        <v>12.750000000000002</v>
      </c>
      <c r="AN119" s="116">
        <v>15.3</v>
      </c>
      <c r="AO119" s="116">
        <f>AN119*AL119</f>
        <v>578.34</v>
      </c>
      <c r="AP119" s="116">
        <f t="shared" si="113"/>
        <v>6270.25</v>
      </c>
      <c r="AQ119" s="116">
        <f t="shared" si="132"/>
        <v>7524.3</v>
      </c>
      <c r="AR119" s="117">
        <f>2166+1500</f>
        <v>3666</v>
      </c>
      <c r="AS119" s="116" t="s">
        <v>210</v>
      </c>
      <c r="AT119" s="118">
        <v>0</v>
      </c>
      <c r="AU119" s="118">
        <f t="shared" si="114"/>
        <v>6.1000000000000005</v>
      </c>
      <c r="AV119" s="144">
        <v>7.32</v>
      </c>
      <c r="AW119" s="118">
        <f>AU119*AR119</f>
        <v>22362.600000000002</v>
      </c>
      <c r="AX119" s="118">
        <f>AV119*AR119</f>
        <v>26835.120000000003</v>
      </c>
      <c r="AY119" s="119">
        <f t="shared" si="135"/>
        <v>28632.850000000002</v>
      </c>
      <c r="AZ119" s="120">
        <f t="shared" si="135"/>
        <v>34359.420000000006</v>
      </c>
      <c r="BA119" s="148"/>
      <c r="BB119" s="149"/>
      <c r="BC119" s="149"/>
      <c r="BD119" s="149"/>
      <c r="BE119" s="37"/>
      <c r="BF119" s="37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</row>
    <row r="120" spans="1:93" s="58" customFormat="1" ht="45.75" outlineLevel="1" x14ac:dyDescent="0.6">
      <c r="A120" s="160" t="s">
        <v>161</v>
      </c>
      <c r="B120" s="161"/>
      <c r="C120" s="161"/>
      <c r="D120" s="124"/>
      <c r="E120" s="115"/>
      <c r="F120" s="124"/>
      <c r="G120" s="116"/>
      <c r="H120" s="124"/>
      <c r="I120" s="124"/>
      <c r="J120" s="124"/>
      <c r="K120" s="116"/>
      <c r="L120" s="116"/>
      <c r="M120" s="124"/>
      <c r="N120" s="124"/>
      <c r="O120" s="116"/>
      <c r="P120" s="116"/>
      <c r="Q120" s="124"/>
      <c r="R120" s="124"/>
      <c r="S120" s="116"/>
      <c r="T120" s="116"/>
      <c r="U120" s="124"/>
      <c r="V120" s="124"/>
      <c r="W120" s="116"/>
      <c r="X120" s="116"/>
      <c r="Y120" s="124"/>
      <c r="Z120" s="124"/>
      <c r="AA120" s="116"/>
      <c r="AB120" s="116"/>
      <c r="AC120" s="124"/>
      <c r="AD120" s="124"/>
      <c r="AE120" s="116"/>
      <c r="AF120" s="116"/>
      <c r="AG120" s="124"/>
      <c r="AH120" s="124"/>
      <c r="AI120" s="116"/>
      <c r="AJ120" s="116"/>
      <c r="AK120" s="124"/>
      <c r="AL120" s="124"/>
      <c r="AM120" s="116"/>
      <c r="AN120" s="116"/>
      <c r="AO120" s="124"/>
      <c r="AP120" s="116"/>
      <c r="AQ120" s="116"/>
      <c r="AR120" s="124"/>
      <c r="AS120" s="116"/>
      <c r="AT120" s="126"/>
      <c r="AU120" s="118"/>
      <c r="AV120" s="144"/>
      <c r="AW120" s="126"/>
      <c r="AX120" s="126"/>
      <c r="AY120" s="119"/>
      <c r="AZ120" s="120"/>
      <c r="BA120" s="148"/>
      <c r="BB120" s="149"/>
      <c r="BC120" s="33"/>
      <c r="BD120" s="33"/>
      <c r="BE120" s="33"/>
      <c r="BF120" s="33"/>
      <c r="BG120" s="60"/>
      <c r="CJ120" s="192"/>
      <c r="CK120" s="192"/>
      <c r="CL120" s="192"/>
      <c r="CM120" s="192"/>
      <c r="CN120" s="192"/>
      <c r="CO120" s="192"/>
    </row>
    <row r="121" spans="1:93" s="4" customFormat="1" ht="274.5" customHeight="1" outlineLevel="1" x14ac:dyDescent="0.6">
      <c r="A121" s="111">
        <v>89</v>
      </c>
      <c r="B121" s="112" t="s">
        <v>178</v>
      </c>
      <c r="C121" s="113" t="s">
        <v>121</v>
      </c>
      <c r="D121" s="114" t="s">
        <v>19</v>
      </c>
      <c r="E121" s="115">
        <f t="shared" ref="E121:E172" si="151">F121+J121+N121+R121+V121+Z121+AD121+AH121+AL121</f>
        <v>1887.4</v>
      </c>
      <c r="F121" s="116">
        <v>0</v>
      </c>
      <c r="G121" s="116">
        <f t="shared" ref="G121:G171" si="152">H121/1.2</f>
        <v>16.666666666666668</v>
      </c>
      <c r="H121" s="116">
        <v>20</v>
      </c>
      <c r="I121" s="116">
        <f t="shared" si="123"/>
        <v>0</v>
      </c>
      <c r="J121" s="115">
        <v>417.3</v>
      </c>
      <c r="K121" s="116">
        <f t="shared" ref="K121:K171" si="153">L121/1.2</f>
        <v>12.916666666666668</v>
      </c>
      <c r="L121" s="116">
        <v>15.5</v>
      </c>
      <c r="M121" s="116">
        <f t="shared" si="124"/>
        <v>6468.1500000000005</v>
      </c>
      <c r="N121" s="117">
        <v>562.5</v>
      </c>
      <c r="O121" s="116">
        <f t="shared" ref="O121:O171" si="154">P121/1.2</f>
        <v>4.666666666666667</v>
      </c>
      <c r="P121" s="116">
        <v>5.6</v>
      </c>
      <c r="Q121" s="116">
        <f t="shared" si="125"/>
        <v>3150</v>
      </c>
      <c r="R121" s="115">
        <v>0</v>
      </c>
      <c r="S121" s="116">
        <f t="shared" si="117"/>
        <v>15.583333333333334</v>
      </c>
      <c r="T121" s="116">
        <v>18.7</v>
      </c>
      <c r="U121" s="116">
        <f t="shared" si="126"/>
        <v>0</v>
      </c>
      <c r="V121" s="116">
        <v>0</v>
      </c>
      <c r="W121" s="116">
        <f t="shared" ref="W121:W171" si="155">X121/1.2</f>
        <v>6.416666666666667</v>
      </c>
      <c r="X121" s="116">
        <v>7.7</v>
      </c>
      <c r="Y121" s="116">
        <f t="shared" si="127"/>
        <v>0</v>
      </c>
      <c r="Z121" s="115">
        <v>178.2</v>
      </c>
      <c r="AA121" s="116">
        <f t="shared" ref="AA121:AA171" si="156">AB121/1.2</f>
        <v>6</v>
      </c>
      <c r="AB121" s="116">
        <v>7.2</v>
      </c>
      <c r="AC121" s="116">
        <f t="shared" si="128"/>
        <v>1283.04</v>
      </c>
      <c r="AD121" s="116">
        <v>0</v>
      </c>
      <c r="AE121" s="116">
        <f t="shared" ref="AE121:AE171" si="157">AF121/1.2</f>
        <v>4.666666666666667</v>
      </c>
      <c r="AF121" s="116">
        <v>5.6</v>
      </c>
      <c r="AG121" s="116">
        <f t="shared" si="129"/>
        <v>0</v>
      </c>
      <c r="AH121" s="117">
        <v>688.2</v>
      </c>
      <c r="AI121" s="116">
        <f t="shared" ref="AI121:AI171" si="158">AJ121/1.2</f>
        <v>8.3333333333333339</v>
      </c>
      <c r="AJ121" s="116">
        <v>10</v>
      </c>
      <c r="AK121" s="116">
        <f t="shared" si="130"/>
        <v>6882</v>
      </c>
      <c r="AL121" s="117">
        <v>41.2</v>
      </c>
      <c r="AM121" s="116">
        <f t="shared" ref="AM121:AM172" si="159">AN121/1.2</f>
        <v>12.750000000000002</v>
      </c>
      <c r="AN121" s="116">
        <v>15.3</v>
      </c>
      <c r="AO121" s="116">
        <f t="shared" si="131"/>
        <v>630.36000000000013</v>
      </c>
      <c r="AP121" s="116">
        <f t="shared" ref="AP121:AP171" si="160">AQ121/1.2</f>
        <v>15344.625000000004</v>
      </c>
      <c r="AQ121" s="116">
        <f t="shared" si="132"/>
        <v>18413.550000000003</v>
      </c>
      <c r="AR121" s="117">
        <v>2650</v>
      </c>
      <c r="AS121" s="116" t="s">
        <v>210</v>
      </c>
      <c r="AT121" s="118">
        <v>0</v>
      </c>
      <c r="AU121" s="118">
        <f t="shared" ref="AU121:AU171" si="161">AV121/1.2</f>
        <v>6.1000000000000005</v>
      </c>
      <c r="AV121" s="144">
        <v>7.32</v>
      </c>
      <c r="AW121" s="118">
        <f t="shared" si="133"/>
        <v>16165.000000000002</v>
      </c>
      <c r="AX121" s="118">
        <f t="shared" si="134"/>
        <v>19398</v>
      </c>
      <c r="AY121" s="119">
        <f t="shared" si="135"/>
        <v>31509.625000000007</v>
      </c>
      <c r="AZ121" s="120">
        <f t="shared" si="135"/>
        <v>37811.550000000003</v>
      </c>
      <c r="BA121" s="148"/>
      <c r="BB121" s="149"/>
      <c r="BC121" s="149"/>
      <c r="BD121" s="149"/>
      <c r="BE121" s="37"/>
      <c r="BF121" s="37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</row>
    <row r="122" spans="1:93" s="4" customFormat="1" ht="45.75" outlineLevel="1" x14ac:dyDescent="0.25">
      <c r="A122" s="160" t="s">
        <v>214</v>
      </c>
      <c r="B122" s="161"/>
      <c r="C122" s="164"/>
      <c r="D122" s="114"/>
      <c r="E122" s="115"/>
      <c r="F122" s="116"/>
      <c r="G122" s="116"/>
      <c r="H122" s="116"/>
      <c r="I122" s="116"/>
      <c r="J122" s="115"/>
      <c r="K122" s="116"/>
      <c r="L122" s="116"/>
      <c r="M122" s="116"/>
      <c r="N122" s="117"/>
      <c r="O122" s="116"/>
      <c r="P122" s="116"/>
      <c r="Q122" s="116"/>
      <c r="R122" s="115"/>
      <c r="S122" s="116"/>
      <c r="T122" s="116"/>
      <c r="U122" s="116"/>
      <c r="V122" s="116"/>
      <c r="W122" s="116"/>
      <c r="X122" s="116"/>
      <c r="Y122" s="116"/>
      <c r="Z122" s="115"/>
      <c r="AA122" s="116"/>
      <c r="AB122" s="116"/>
      <c r="AC122" s="116"/>
      <c r="AD122" s="116"/>
      <c r="AE122" s="116"/>
      <c r="AF122" s="116"/>
      <c r="AG122" s="116"/>
      <c r="AH122" s="117"/>
      <c r="AI122" s="116"/>
      <c r="AJ122" s="116"/>
      <c r="AK122" s="116"/>
      <c r="AL122" s="117"/>
      <c r="AM122" s="116"/>
      <c r="AN122" s="116"/>
      <c r="AO122" s="116"/>
      <c r="AP122" s="116"/>
      <c r="AQ122" s="116"/>
      <c r="AR122" s="117"/>
      <c r="AS122" s="116"/>
      <c r="AT122" s="118"/>
      <c r="AU122" s="118"/>
      <c r="AV122" s="144"/>
      <c r="AW122" s="118"/>
      <c r="AX122" s="118"/>
      <c r="AY122" s="119"/>
      <c r="AZ122" s="120"/>
      <c r="BA122" s="9"/>
      <c r="BB122" s="9"/>
      <c r="BC122" s="9"/>
      <c r="BD122" s="9"/>
      <c r="BE122" s="37"/>
      <c r="BF122" s="37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</row>
    <row r="123" spans="1:93" s="4" customFormat="1" ht="409.5" outlineLevel="1" x14ac:dyDescent="0.6">
      <c r="A123" s="111">
        <v>90</v>
      </c>
      <c r="B123" s="112" t="s">
        <v>177</v>
      </c>
      <c r="C123" s="113" t="s">
        <v>150</v>
      </c>
      <c r="D123" s="114" t="s">
        <v>19</v>
      </c>
      <c r="E123" s="115">
        <f t="shared" si="151"/>
        <v>663.00000000000011</v>
      </c>
      <c r="F123" s="116">
        <v>0</v>
      </c>
      <c r="G123" s="116">
        <f t="shared" si="152"/>
        <v>16.666666666666668</v>
      </c>
      <c r="H123" s="116">
        <v>20</v>
      </c>
      <c r="I123" s="116">
        <f t="shared" si="123"/>
        <v>0</v>
      </c>
      <c r="J123" s="115">
        <v>353.3</v>
      </c>
      <c r="K123" s="116">
        <f t="shared" si="153"/>
        <v>12.916666666666668</v>
      </c>
      <c r="L123" s="116">
        <v>15.5</v>
      </c>
      <c r="M123" s="116">
        <f t="shared" si="124"/>
        <v>5476.1500000000005</v>
      </c>
      <c r="N123" s="117">
        <v>14.6</v>
      </c>
      <c r="O123" s="116">
        <f t="shared" si="154"/>
        <v>4.666666666666667</v>
      </c>
      <c r="P123" s="116">
        <v>5.6</v>
      </c>
      <c r="Q123" s="116">
        <f t="shared" si="125"/>
        <v>81.759999999999991</v>
      </c>
      <c r="R123" s="115">
        <v>0</v>
      </c>
      <c r="S123" s="116">
        <f t="shared" ref="S123:S172" si="162">T123/1.2</f>
        <v>15.583333333333334</v>
      </c>
      <c r="T123" s="116">
        <v>18.7</v>
      </c>
      <c r="U123" s="116">
        <f t="shared" si="126"/>
        <v>0</v>
      </c>
      <c r="V123" s="116">
        <v>10</v>
      </c>
      <c r="W123" s="116">
        <f t="shared" si="155"/>
        <v>6.416666666666667</v>
      </c>
      <c r="X123" s="116">
        <v>7.7</v>
      </c>
      <c r="Y123" s="116">
        <f t="shared" si="127"/>
        <v>77</v>
      </c>
      <c r="Z123" s="115">
        <v>62.1</v>
      </c>
      <c r="AA123" s="116">
        <f t="shared" si="156"/>
        <v>6</v>
      </c>
      <c r="AB123" s="116">
        <v>7.2</v>
      </c>
      <c r="AC123" s="116">
        <f t="shared" si="128"/>
        <v>447.12</v>
      </c>
      <c r="AD123" s="116">
        <v>0</v>
      </c>
      <c r="AE123" s="116">
        <f t="shared" si="157"/>
        <v>4.666666666666667</v>
      </c>
      <c r="AF123" s="116">
        <v>5.6</v>
      </c>
      <c r="AG123" s="116">
        <f t="shared" si="129"/>
        <v>0</v>
      </c>
      <c r="AH123" s="117">
        <v>209.8</v>
      </c>
      <c r="AI123" s="116">
        <f t="shared" si="158"/>
        <v>8.3333333333333339</v>
      </c>
      <c r="AJ123" s="116">
        <v>10</v>
      </c>
      <c r="AK123" s="116">
        <f t="shared" si="130"/>
        <v>2098</v>
      </c>
      <c r="AL123" s="117">
        <v>13.2</v>
      </c>
      <c r="AM123" s="116">
        <f t="shared" si="159"/>
        <v>12.750000000000002</v>
      </c>
      <c r="AN123" s="116">
        <v>15.3</v>
      </c>
      <c r="AO123" s="116">
        <f t="shared" si="131"/>
        <v>201.96</v>
      </c>
      <c r="AP123" s="116">
        <f t="shared" si="160"/>
        <v>6984.9916666666668</v>
      </c>
      <c r="AQ123" s="116">
        <f t="shared" si="132"/>
        <v>8381.99</v>
      </c>
      <c r="AR123" s="117">
        <v>538</v>
      </c>
      <c r="AS123" s="116" t="s">
        <v>210</v>
      </c>
      <c r="AT123" s="118">
        <v>0</v>
      </c>
      <c r="AU123" s="118">
        <f t="shared" si="161"/>
        <v>6.1000000000000005</v>
      </c>
      <c r="AV123" s="144">
        <v>7.32</v>
      </c>
      <c r="AW123" s="118">
        <f t="shared" si="133"/>
        <v>3281.8</v>
      </c>
      <c r="AX123" s="118">
        <f t="shared" si="134"/>
        <v>3938.1600000000003</v>
      </c>
      <c r="AY123" s="119">
        <f t="shared" si="135"/>
        <v>10266.791666666668</v>
      </c>
      <c r="AZ123" s="120">
        <f t="shared" si="135"/>
        <v>12320.15</v>
      </c>
      <c r="BA123" s="148"/>
      <c r="BB123" s="149"/>
      <c r="BC123" s="149"/>
      <c r="BD123" s="149"/>
      <c r="BE123" s="37"/>
      <c r="BF123" s="37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</row>
    <row r="124" spans="1:93" s="4" customFormat="1" ht="45.75" outlineLevel="1" x14ac:dyDescent="0.25">
      <c r="A124" s="160" t="s">
        <v>213</v>
      </c>
      <c r="B124" s="161"/>
      <c r="C124" s="164"/>
      <c r="D124" s="114"/>
      <c r="E124" s="115"/>
      <c r="F124" s="116"/>
      <c r="G124" s="116"/>
      <c r="H124" s="116"/>
      <c r="I124" s="116"/>
      <c r="J124" s="115"/>
      <c r="K124" s="116"/>
      <c r="L124" s="116"/>
      <c r="M124" s="116"/>
      <c r="N124" s="117"/>
      <c r="O124" s="116"/>
      <c r="P124" s="116"/>
      <c r="Q124" s="116"/>
      <c r="R124" s="115"/>
      <c r="S124" s="116"/>
      <c r="T124" s="116"/>
      <c r="U124" s="116"/>
      <c r="V124" s="116"/>
      <c r="W124" s="116"/>
      <c r="X124" s="116"/>
      <c r="Y124" s="116"/>
      <c r="Z124" s="115"/>
      <c r="AA124" s="116"/>
      <c r="AB124" s="116"/>
      <c r="AC124" s="116"/>
      <c r="AD124" s="116"/>
      <c r="AE124" s="116"/>
      <c r="AF124" s="116"/>
      <c r="AG124" s="116"/>
      <c r="AH124" s="117"/>
      <c r="AI124" s="116"/>
      <c r="AJ124" s="116"/>
      <c r="AK124" s="116"/>
      <c r="AL124" s="117"/>
      <c r="AM124" s="116"/>
      <c r="AN124" s="116"/>
      <c r="AO124" s="116"/>
      <c r="AP124" s="116"/>
      <c r="AQ124" s="116"/>
      <c r="AR124" s="117"/>
      <c r="AS124" s="116"/>
      <c r="AT124" s="118"/>
      <c r="AU124" s="118"/>
      <c r="AV124" s="144"/>
      <c r="AW124" s="118"/>
      <c r="AX124" s="118"/>
      <c r="AY124" s="119"/>
      <c r="AZ124" s="120"/>
      <c r="BA124" s="9"/>
      <c r="BB124" s="9"/>
      <c r="BC124" s="9"/>
      <c r="BD124" s="9"/>
      <c r="BE124" s="37"/>
      <c r="BF124" s="37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</row>
    <row r="125" spans="1:93" s="4" customFormat="1" ht="409.5" outlineLevel="1" x14ac:dyDescent="0.25">
      <c r="A125" s="111">
        <f>A123+1</f>
        <v>91</v>
      </c>
      <c r="B125" s="112" t="s">
        <v>177</v>
      </c>
      <c r="C125" s="113" t="s">
        <v>125</v>
      </c>
      <c r="D125" s="114" t="s">
        <v>19</v>
      </c>
      <c r="E125" s="115">
        <f t="shared" si="151"/>
        <v>412.1</v>
      </c>
      <c r="F125" s="116">
        <v>0</v>
      </c>
      <c r="G125" s="116">
        <f t="shared" si="152"/>
        <v>16.666666666666668</v>
      </c>
      <c r="H125" s="116">
        <v>20</v>
      </c>
      <c r="I125" s="116">
        <f>H125*F125</f>
        <v>0</v>
      </c>
      <c r="J125" s="115">
        <v>108.4</v>
      </c>
      <c r="K125" s="116">
        <f t="shared" si="153"/>
        <v>12.916666666666668</v>
      </c>
      <c r="L125" s="116">
        <v>15.5</v>
      </c>
      <c r="M125" s="116">
        <f>L125*J125</f>
        <v>1680.2</v>
      </c>
      <c r="N125" s="117">
        <v>135.69999999999999</v>
      </c>
      <c r="O125" s="116">
        <f t="shared" si="154"/>
        <v>4.666666666666667</v>
      </c>
      <c r="P125" s="116">
        <v>5.6</v>
      </c>
      <c r="Q125" s="116">
        <f>P125*N125</f>
        <v>759.91999999999985</v>
      </c>
      <c r="R125" s="115">
        <v>0</v>
      </c>
      <c r="S125" s="116">
        <f t="shared" si="162"/>
        <v>15.583333333333334</v>
      </c>
      <c r="T125" s="116">
        <v>18.7</v>
      </c>
      <c r="U125" s="116">
        <f>T125*R125</f>
        <v>0</v>
      </c>
      <c r="V125" s="116">
        <v>0</v>
      </c>
      <c r="W125" s="116">
        <f t="shared" si="155"/>
        <v>6.416666666666667</v>
      </c>
      <c r="X125" s="116">
        <v>7.7</v>
      </c>
      <c r="Y125" s="116">
        <f>X125*V125</f>
        <v>0</v>
      </c>
      <c r="Z125" s="115">
        <v>83.1</v>
      </c>
      <c r="AA125" s="116">
        <f t="shared" si="156"/>
        <v>6</v>
      </c>
      <c r="AB125" s="116">
        <v>7.2</v>
      </c>
      <c r="AC125" s="116">
        <f>AB125*Z125</f>
        <v>598.31999999999994</v>
      </c>
      <c r="AD125" s="116">
        <v>0</v>
      </c>
      <c r="AE125" s="116">
        <f t="shared" si="157"/>
        <v>4.666666666666667</v>
      </c>
      <c r="AF125" s="116">
        <v>5.6</v>
      </c>
      <c r="AG125" s="116">
        <f>AF125*AD125</f>
        <v>0</v>
      </c>
      <c r="AH125" s="117">
        <v>77.3</v>
      </c>
      <c r="AI125" s="116">
        <f t="shared" si="158"/>
        <v>8.3333333333333339</v>
      </c>
      <c r="AJ125" s="116">
        <v>10</v>
      </c>
      <c r="AK125" s="116">
        <f>AJ125*AH125</f>
        <v>773</v>
      </c>
      <c r="AL125" s="117">
        <v>7.6</v>
      </c>
      <c r="AM125" s="116">
        <f t="shared" si="159"/>
        <v>12.750000000000002</v>
      </c>
      <c r="AN125" s="116">
        <v>15.3</v>
      </c>
      <c r="AO125" s="116">
        <f>AN125*AL125</f>
        <v>116.28</v>
      </c>
      <c r="AP125" s="116">
        <f t="shared" si="160"/>
        <v>3273.1</v>
      </c>
      <c r="AQ125" s="116">
        <f t="shared" si="132"/>
        <v>3927.72</v>
      </c>
      <c r="AR125" s="117">
        <v>100</v>
      </c>
      <c r="AS125" s="116" t="s">
        <v>210</v>
      </c>
      <c r="AT125" s="118">
        <v>0</v>
      </c>
      <c r="AU125" s="118">
        <f t="shared" si="161"/>
        <v>6.1000000000000005</v>
      </c>
      <c r="AV125" s="144">
        <v>7.32</v>
      </c>
      <c r="AW125" s="118">
        <f>AU125*AR125</f>
        <v>610</v>
      </c>
      <c r="AX125" s="118">
        <f>AV125*AR125</f>
        <v>732</v>
      </c>
      <c r="AY125" s="119">
        <f t="shared" si="135"/>
        <v>3883.1</v>
      </c>
      <c r="AZ125" s="120">
        <f t="shared" si="135"/>
        <v>4659.7199999999993</v>
      </c>
      <c r="BA125" s="102"/>
      <c r="BB125" s="9"/>
      <c r="BC125" s="9"/>
      <c r="BD125" s="9"/>
      <c r="BE125" s="37"/>
      <c r="BF125" s="37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</row>
    <row r="126" spans="1:93" s="4" customFormat="1" ht="45.75" outlineLevel="1" x14ac:dyDescent="0.25">
      <c r="A126" s="160" t="s">
        <v>215</v>
      </c>
      <c r="B126" s="161"/>
      <c r="C126" s="164"/>
      <c r="D126" s="114"/>
      <c r="E126" s="115"/>
      <c r="F126" s="116"/>
      <c r="G126" s="116"/>
      <c r="H126" s="116"/>
      <c r="I126" s="116"/>
      <c r="J126" s="115"/>
      <c r="K126" s="116"/>
      <c r="L126" s="116"/>
      <c r="M126" s="116"/>
      <c r="N126" s="117"/>
      <c r="O126" s="116"/>
      <c r="P126" s="116"/>
      <c r="Q126" s="116"/>
      <c r="R126" s="115"/>
      <c r="S126" s="116"/>
      <c r="T126" s="116"/>
      <c r="U126" s="116"/>
      <c r="V126" s="116"/>
      <c r="W126" s="116"/>
      <c r="X126" s="116"/>
      <c r="Y126" s="116"/>
      <c r="Z126" s="115"/>
      <c r="AA126" s="116"/>
      <c r="AB126" s="116"/>
      <c r="AC126" s="116"/>
      <c r="AD126" s="116"/>
      <c r="AE126" s="116"/>
      <c r="AF126" s="116"/>
      <c r="AG126" s="116"/>
      <c r="AH126" s="117"/>
      <c r="AI126" s="116"/>
      <c r="AJ126" s="116"/>
      <c r="AK126" s="116"/>
      <c r="AL126" s="117"/>
      <c r="AM126" s="116"/>
      <c r="AN126" s="116"/>
      <c r="AO126" s="116"/>
      <c r="AP126" s="116"/>
      <c r="AQ126" s="116"/>
      <c r="AR126" s="117"/>
      <c r="AS126" s="116"/>
      <c r="AT126" s="118"/>
      <c r="AU126" s="118"/>
      <c r="AV126" s="144"/>
      <c r="AW126" s="118"/>
      <c r="AX126" s="118"/>
      <c r="AY126" s="119"/>
      <c r="AZ126" s="120"/>
      <c r="BA126" s="9"/>
      <c r="BB126" s="9"/>
      <c r="BC126" s="9"/>
      <c r="BD126" s="9"/>
      <c r="BE126" s="37"/>
      <c r="BF126" s="37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</row>
    <row r="127" spans="1:93" s="4" customFormat="1" ht="320.25" outlineLevel="1" x14ac:dyDescent="0.25">
      <c r="A127" s="111">
        <f>A125+1</f>
        <v>92</v>
      </c>
      <c r="B127" s="112" t="s">
        <v>177</v>
      </c>
      <c r="C127" s="113" t="s">
        <v>126</v>
      </c>
      <c r="D127" s="114" t="s">
        <v>19</v>
      </c>
      <c r="E127" s="115">
        <f t="shared" si="151"/>
        <v>409.4</v>
      </c>
      <c r="F127" s="116">
        <v>0</v>
      </c>
      <c r="G127" s="116">
        <f t="shared" si="152"/>
        <v>16.666666666666668</v>
      </c>
      <c r="H127" s="116">
        <v>20</v>
      </c>
      <c r="I127" s="116">
        <f>H127*F127</f>
        <v>0</v>
      </c>
      <c r="J127" s="115">
        <v>63.7</v>
      </c>
      <c r="K127" s="116">
        <f t="shared" si="153"/>
        <v>12.916666666666668</v>
      </c>
      <c r="L127" s="116">
        <v>15.5</v>
      </c>
      <c r="M127" s="116">
        <f>L127*J127</f>
        <v>987.35</v>
      </c>
      <c r="N127" s="117">
        <v>73.8</v>
      </c>
      <c r="O127" s="116">
        <f t="shared" si="154"/>
        <v>4.666666666666667</v>
      </c>
      <c r="P127" s="116">
        <v>5.6</v>
      </c>
      <c r="Q127" s="116">
        <f>P127*N127</f>
        <v>413.28</v>
      </c>
      <c r="R127" s="115">
        <v>0</v>
      </c>
      <c r="S127" s="116">
        <f t="shared" si="162"/>
        <v>15.583333333333334</v>
      </c>
      <c r="T127" s="116">
        <v>18.7</v>
      </c>
      <c r="U127" s="116">
        <f>T127*R127</f>
        <v>0</v>
      </c>
      <c r="V127" s="116">
        <v>0</v>
      </c>
      <c r="W127" s="116">
        <f t="shared" si="155"/>
        <v>6.416666666666667</v>
      </c>
      <c r="X127" s="116">
        <v>7.7</v>
      </c>
      <c r="Y127" s="116">
        <f>X127*V127</f>
        <v>0</v>
      </c>
      <c r="Z127" s="115">
        <v>169</v>
      </c>
      <c r="AA127" s="116">
        <f t="shared" si="156"/>
        <v>6</v>
      </c>
      <c r="AB127" s="116">
        <v>7.2</v>
      </c>
      <c r="AC127" s="116">
        <f>AB127*Z127</f>
        <v>1216.8</v>
      </c>
      <c r="AD127" s="116">
        <v>0</v>
      </c>
      <c r="AE127" s="116">
        <f t="shared" si="157"/>
        <v>4.666666666666667</v>
      </c>
      <c r="AF127" s="116">
        <v>5.6</v>
      </c>
      <c r="AG127" s="116">
        <f>AF127*AD127</f>
        <v>0</v>
      </c>
      <c r="AH127" s="117">
        <v>101.9</v>
      </c>
      <c r="AI127" s="116">
        <f t="shared" si="158"/>
        <v>8.3333333333333339</v>
      </c>
      <c r="AJ127" s="116">
        <v>10</v>
      </c>
      <c r="AK127" s="116">
        <f>AJ127*AH127</f>
        <v>1019</v>
      </c>
      <c r="AL127" s="117">
        <v>1</v>
      </c>
      <c r="AM127" s="116">
        <f t="shared" si="159"/>
        <v>12.750000000000002</v>
      </c>
      <c r="AN127" s="116">
        <v>15.3</v>
      </c>
      <c r="AO127" s="116">
        <f>AN127*AL127</f>
        <v>15.3</v>
      </c>
      <c r="AP127" s="116">
        <f t="shared" si="160"/>
        <v>3043.108333333334</v>
      </c>
      <c r="AQ127" s="116">
        <f t="shared" si="132"/>
        <v>3651.7300000000005</v>
      </c>
      <c r="AR127" s="117">
        <v>130</v>
      </c>
      <c r="AS127" s="116" t="s">
        <v>210</v>
      </c>
      <c r="AT127" s="118">
        <v>0</v>
      </c>
      <c r="AU127" s="118">
        <f t="shared" si="161"/>
        <v>6.1000000000000005</v>
      </c>
      <c r="AV127" s="144">
        <v>7.32</v>
      </c>
      <c r="AW127" s="118">
        <f>AU127*AR127</f>
        <v>793.00000000000011</v>
      </c>
      <c r="AX127" s="118">
        <f>AV127*AR127</f>
        <v>951.6</v>
      </c>
      <c r="AY127" s="119">
        <f t="shared" si="135"/>
        <v>3836.108333333334</v>
      </c>
      <c r="AZ127" s="120">
        <f t="shared" si="135"/>
        <v>4603.3300000000008</v>
      </c>
      <c r="BA127" s="101"/>
      <c r="BB127" s="9"/>
      <c r="BC127" s="9"/>
      <c r="BD127" s="9"/>
      <c r="BE127" s="37"/>
      <c r="BF127" s="37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</row>
    <row r="128" spans="1:93" s="4" customFormat="1" ht="45.75" outlineLevel="1" x14ac:dyDescent="0.25">
      <c r="A128" s="160" t="s">
        <v>216</v>
      </c>
      <c r="B128" s="161"/>
      <c r="C128" s="164"/>
      <c r="D128" s="114"/>
      <c r="E128" s="115"/>
      <c r="F128" s="116"/>
      <c r="G128" s="116"/>
      <c r="H128" s="116"/>
      <c r="I128" s="116"/>
      <c r="J128" s="115"/>
      <c r="K128" s="116"/>
      <c r="L128" s="116"/>
      <c r="M128" s="116"/>
      <c r="N128" s="117"/>
      <c r="O128" s="116"/>
      <c r="P128" s="116"/>
      <c r="Q128" s="116"/>
      <c r="R128" s="115"/>
      <c r="S128" s="116"/>
      <c r="T128" s="116"/>
      <c r="U128" s="116"/>
      <c r="V128" s="116"/>
      <c r="W128" s="116"/>
      <c r="X128" s="116"/>
      <c r="Y128" s="116"/>
      <c r="Z128" s="115"/>
      <c r="AA128" s="116"/>
      <c r="AB128" s="116"/>
      <c r="AC128" s="116"/>
      <c r="AD128" s="116"/>
      <c r="AE128" s="116"/>
      <c r="AF128" s="116"/>
      <c r="AG128" s="116"/>
      <c r="AH128" s="117"/>
      <c r="AI128" s="116"/>
      <c r="AJ128" s="116"/>
      <c r="AK128" s="116"/>
      <c r="AL128" s="117"/>
      <c r="AM128" s="116"/>
      <c r="AN128" s="116"/>
      <c r="AO128" s="116"/>
      <c r="AP128" s="116"/>
      <c r="AQ128" s="116"/>
      <c r="AR128" s="117"/>
      <c r="AS128" s="116"/>
      <c r="AT128" s="118"/>
      <c r="AU128" s="118"/>
      <c r="AV128" s="144"/>
      <c r="AW128" s="118"/>
      <c r="AX128" s="118"/>
      <c r="AY128" s="119"/>
      <c r="AZ128" s="120"/>
      <c r="BA128" s="9"/>
      <c r="BB128" s="9"/>
      <c r="BC128" s="9"/>
      <c r="BD128" s="9"/>
      <c r="BE128" s="37"/>
      <c r="BF128" s="37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</row>
    <row r="129" spans="1:93" s="4" customFormat="1" ht="366" outlineLevel="1" x14ac:dyDescent="0.25">
      <c r="A129" s="111">
        <f>A127+1</f>
        <v>93</v>
      </c>
      <c r="B129" s="112" t="s">
        <v>177</v>
      </c>
      <c r="C129" s="113" t="s">
        <v>127</v>
      </c>
      <c r="D129" s="114" t="s">
        <v>19</v>
      </c>
      <c r="E129" s="115">
        <f t="shared" si="151"/>
        <v>649.9</v>
      </c>
      <c r="F129" s="116">
        <v>0</v>
      </c>
      <c r="G129" s="116">
        <f t="shared" si="152"/>
        <v>16.666666666666668</v>
      </c>
      <c r="H129" s="116">
        <v>20</v>
      </c>
      <c r="I129" s="116">
        <f t="shared" ref="I129" si="163">H129*F129</f>
        <v>0</v>
      </c>
      <c r="J129" s="115">
        <v>69.2</v>
      </c>
      <c r="K129" s="116">
        <f t="shared" si="153"/>
        <v>12.916666666666668</v>
      </c>
      <c r="L129" s="116">
        <v>15.5</v>
      </c>
      <c r="M129" s="116">
        <f t="shared" ref="M129" si="164">L129*J129</f>
        <v>1072.6000000000001</v>
      </c>
      <c r="N129" s="117">
        <v>103.1</v>
      </c>
      <c r="O129" s="116">
        <f t="shared" si="154"/>
        <v>4.666666666666667</v>
      </c>
      <c r="P129" s="116">
        <v>5.6</v>
      </c>
      <c r="Q129" s="116">
        <f t="shared" ref="Q129" si="165">P129*N129</f>
        <v>577.3599999999999</v>
      </c>
      <c r="R129" s="115">
        <v>0</v>
      </c>
      <c r="S129" s="116">
        <f t="shared" si="162"/>
        <v>15.583333333333334</v>
      </c>
      <c r="T129" s="116">
        <v>18.7</v>
      </c>
      <c r="U129" s="116">
        <f t="shared" ref="U129" si="166">T129*R129</f>
        <v>0</v>
      </c>
      <c r="V129" s="116">
        <v>27.1</v>
      </c>
      <c r="W129" s="116">
        <f t="shared" si="155"/>
        <v>6.416666666666667</v>
      </c>
      <c r="X129" s="116">
        <v>7.7</v>
      </c>
      <c r="Y129" s="116">
        <f t="shared" ref="Y129" si="167">X129*V129</f>
        <v>208.67000000000002</v>
      </c>
      <c r="Z129" s="115">
        <v>252.6</v>
      </c>
      <c r="AA129" s="116">
        <f t="shared" si="156"/>
        <v>6</v>
      </c>
      <c r="AB129" s="116">
        <v>7.2</v>
      </c>
      <c r="AC129" s="116">
        <f t="shared" ref="AC129" si="168">AB129*Z129</f>
        <v>1818.72</v>
      </c>
      <c r="AD129" s="116">
        <v>0</v>
      </c>
      <c r="AE129" s="116">
        <f t="shared" si="157"/>
        <v>4.666666666666667</v>
      </c>
      <c r="AF129" s="116">
        <v>5.6</v>
      </c>
      <c r="AG129" s="116">
        <f t="shared" ref="AG129" si="169">AF129*AD129</f>
        <v>0</v>
      </c>
      <c r="AH129" s="117">
        <v>189.4</v>
      </c>
      <c r="AI129" s="116">
        <f t="shared" si="158"/>
        <v>8.3333333333333339</v>
      </c>
      <c r="AJ129" s="116">
        <v>10</v>
      </c>
      <c r="AK129" s="116">
        <f t="shared" ref="AK129" si="170">AJ129*AH129</f>
        <v>1894</v>
      </c>
      <c r="AL129" s="117">
        <v>8.5</v>
      </c>
      <c r="AM129" s="116">
        <f t="shared" si="159"/>
        <v>12.750000000000002</v>
      </c>
      <c r="AN129" s="116">
        <v>15.3</v>
      </c>
      <c r="AO129" s="116">
        <f t="shared" ref="AO129" si="171">AN129*AL129</f>
        <v>130.05000000000001</v>
      </c>
      <c r="AP129" s="116">
        <f t="shared" si="160"/>
        <v>4751.166666666667</v>
      </c>
      <c r="AQ129" s="116">
        <f t="shared" si="132"/>
        <v>5701.4000000000005</v>
      </c>
      <c r="AR129" s="117">
        <v>1077</v>
      </c>
      <c r="AS129" s="116" t="s">
        <v>210</v>
      </c>
      <c r="AT129" s="118">
        <v>0</v>
      </c>
      <c r="AU129" s="118">
        <f t="shared" si="161"/>
        <v>6.1000000000000005</v>
      </c>
      <c r="AV129" s="144">
        <v>7.32</v>
      </c>
      <c r="AW129" s="118">
        <f>AU129*AR129</f>
        <v>6569.7000000000007</v>
      </c>
      <c r="AX129" s="118">
        <f>AV129*AR129</f>
        <v>7883.64</v>
      </c>
      <c r="AY129" s="119">
        <f t="shared" si="135"/>
        <v>11320.866666666669</v>
      </c>
      <c r="AZ129" s="120">
        <f t="shared" si="135"/>
        <v>13585.04</v>
      </c>
      <c r="BA129" s="9"/>
      <c r="BB129" s="9"/>
      <c r="BC129" s="9"/>
      <c r="BD129" s="9"/>
      <c r="BE129" s="37"/>
      <c r="BF129" s="37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</row>
    <row r="130" spans="1:93" s="27" customFormat="1" ht="45.75" outlineLevel="1" x14ac:dyDescent="0.3">
      <c r="A130" s="162" t="s">
        <v>66</v>
      </c>
      <c r="B130" s="163"/>
      <c r="C130" s="163"/>
      <c r="D130" s="131"/>
      <c r="E130" s="115"/>
      <c r="F130" s="131"/>
      <c r="G130" s="116"/>
      <c r="H130" s="131"/>
      <c r="I130" s="131"/>
      <c r="J130" s="131"/>
      <c r="K130" s="116"/>
      <c r="L130" s="116"/>
      <c r="M130" s="131"/>
      <c r="N130" s="131"/>
      <c r="O130" s="116"/>
      <c r="P130" s="116"/>
      <c r="Q130" s="131"/>
      <c r="R130" s="131"/>
      <c r="S130" s="116"/>
      <c r="T130" s="116"/>
      <c r="U130" s="131"/>
      <c r="V130" s="131"/>
      <c r="W130" s="116"/>
      <c r="X130" s="116"/>
      <c r="Y130" s="131"/>
      <c r="Z130" s="131"/>
      <c r="AA130" s="116"/>
      <c r="AB130" s="116"/>
      <c r="AC130" s="131"/>
      <c r="AD130" s="131"/>
      <c r="AE130" s="116"/>
      <c r="AF130" s="116"/>
      <c r="AG130" s="131"/>
      <c r="AH130" s="131"/>
      <c r="AI130" s="116"/>
      <c r="AJ130" s="116"/>
      <c r="AK130" s="131"/>
      <c r="AL130" s="131"/>
      <c r="AM130" s="116"/>
      <c r="AN130" s="116"/>
      <c r="AO130" s="131"/>
      <c r="AP130" s="116"/>
      <c r="AQ130" s="129"/>
      <c r="AR130" s="131"/>
      <c r="AS130" s="116"/>
      <c r="AT130" s="126"/>
      <c r="AU130" s="118"/>
      <c r="AV130" s="144"/>
      <c r="AW130" s="126"/>
      <c r="AX130" s="126"/>
      <c r="AY130" s="127"/>
      <c r="AZ130" s="130"/>
      <c r="BA130" s="25"/>
      <c r="BB130" s="25"/>
      <c r="BC130" s="25"/>
      <c r="BD130" s="25"/>
      <c r="BE130" s="61"/>
      <c r="BF130" s="61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</row>
    <row r="131" spans="1:93" s="4" customFormat="1" ht="320.25" outlineLevel="1" x14ac:dyDescent="0.25">
      <c r="A131" s="111">
        <f>A129+1</f>
        <v>94</v>
      </c>
      <c r="B131" s="112" t="s">
        <v>177</v>
      </c>
      <c r="C131" s="113" t="s">
        <v>128</v>
      </c>
      <c r="D131" s="114" t="s">
        <v>19</v>
      </c>
      <c r="E131" s="115">
        <f t="shared" si="151"/>
        <v>621.09999999999991</v>
      </c>
      <c r="F131" s="116">
        <v>0</v>
      </c>
      <c r="G131" s="116">
        <f t="shared" si="152"/>
        <v>16.666666666666668</v>
      </c>
      <c r="H131" s="116">
        <v>20</v>
      </c>
      <c r="I131" s="116">
        <f t="shared" si="123"/>
        <v>0</v>
      </c>
      <c r="J131" s="115">
        <v>250.7</v>
      </c>
      <c r="K131" s="116">
        <f t="shared" si="153"/>
        <v>12.916666666666668</v>
      </c>
      <c r="L131" s="116">
        <v>15.5</v>
      </c>
      <c r="M131" s="116">
        <f t="shared" si="124"/>
        <v>3885.85</v>
      </c>
      <c r="N131" s="117">
        <v>39</v>
      </c>
      <c r="O131" s="116">
        <f t="shared" si="154"/>
        <v>4.666666666666667</v>
      </c>
      <c r="P131" s="116">
        <v>5.6</v>
      </c>
      <c r="Q131" s="116">
        <f t="shared" si="125"/>
        <v>218.39999999999998</v>
      </c>
      <c r="R131" s="115">
        <v>0</v>
      </c>
      <c r="S131" s="116">
        <f t="shared" si="162"/>
        <v>15.583333333333334</v>
      </c>
      <c r="T131" s="116">
        <v>18.7</v>
      </c>
      <c r="U131" s="116">
        <f t="shared" si="126"/>
        <v>0</v>
      </c>
      <c r="V131" s="116">
        <v>0</v>
      </c>
      <c r="W131" s="116">
        <f t="shared" si="155"/>
        <v>6.416666666666667</v>
      </c>
      <c r="X131" s="116">
        <v>7.7</v>
      </c>
      <c r="Y131" s="116">
        <f t="shared" si="127"/>
        <v>0</v>
      </c>
      <c r="Z131" s="115">
        <v>295.8</v>
      </c>
      <c r="AA131" s="116">
        <f t="shared" si="156"/>
        <v>6</v>
      </c>
      <c r="AB131" s="116">
        <v>7.2</v>
      </c>
      <c r="AC131" s="116">
        <f t="shared" si="128"/>
        <v>2129.7600000000002</v>
      </c>
      <c r="AD131" s="116">
        <v>0</v>
      </c>
      <c r="AE131" s="116">
        <f t="shared" si="157"/>
        <v>4.666666666666667</v>
      </c>
      <c r="AF131" s="116">
        <v>5.6</v>
      </c>
      <c r="AG131" s="116">
        <f t="shared" si="129"/>
        <v>0</v>
      </c>
      <c r="AH131" s="117">
        <v>17.8</v>
      </c>
      <c r="AI131" s="116">
        <f t="shared" si="158"/>
        <v>8.3333333333333339</v>
      </c>
      <c r="AJ131" s="116">
        <v>10</v>
      </c>
      <c r="AK131" s="116">
        <f t="shared" si="130"/>
        <v>178</v>
      </c>
      <c r="AL131" s="117">
        <v>17.8</v>
      </c>
      <c r="AM131" s="116">
        <f t="shared" si="159"/>
        <v>12.750000000000002</v>
      </c>
      <c r="AN131" s="116">
        <v>15.3</v>
      </c>
      <c r="AO131" s="116">
        <f t="shared" si="131"/>
        <v>272.34000000000003</v>
      </c>
      <c r="AP131" s="116">
        <f t="shared" si="160"/>
        <v>5570.291666666667</v>
      </c>
      <c r="AQ131" s="116">
        <f t="shared" si="132"/>
        <v>6684.35</v>
      </c>
      <c r="AR131" s="117">
        <v>220</v>
      </c>
      <c r="AS131" s="116" t="s">
        <v>210</v>
      </c>
      <c r="AT131" s="118">
        <v>0</v>
      </c>
      <c r="AU131" s="118">
        <f t="shared" si="161"/>
        <v>6.1000000000000005</v>
      </c>
      <c r="AV131" s="144">
        <v>7.32</v>
      </c>
      <c r="AW131" s="118">
        <f t="shared" si="133"/>
        <v>1342.0000000000002</v>
      </c>
      <c r="AX131" s="118">
        <f t="shared" si="134"/>
        <v>1610.4</v>
      </c>
      <c r="AY131" s="119">
        <f t="shared" si="135"/>
        <v>6912.291666666667</v>
      </c>
      <c r="AZ131" s="120">
        <f t="shared" si="135"/>
        <v>8294.75</v>
      </c>
      <c r="BA131" s="103"/>
      <c r="BB131" s="9"/>
      <c r="BC131" s="9"/>
      <c r="BD131" s="9"/>
      <c r="BE131" s="37"/>
      <c r="BF131" s="37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</row>
    <row r="132" spans="1:93" s="4" customFormat="1" ht="45.75" outlineLevel="1" x14ac:dyDescent="0.25">
      <c r="A132" s="160" t="s">
        <v>166</v>
      </c>
      <c r="B132" s="161"/>
      <c r="C132" s="161"/>
      <c r="D132" s="124"/>
      <c r="E132" s="115"/>
      <c r="F132" s="124"/>
      <c r="G132" s="116"/>
      <c r="H132" s="124"/>
      <c r="I132" s="124"/>
      <c r="J132" s="124"/>
      <c r="K132" s="116"/>
      <c r="L132" s="116"/>
      <c r="M132" s="124"/>
      <c r="N132" s="124"/>
      <c r="O132" s="116"/>
      <c r="P132" s="116"/>
      <c r="Q132" s="124"/>
      <c r="R132" s="124"/>
      <c r="S132" s="116"/>
      <c r="T132" s="116"/>
      <c r="U132" s="124"/>
      <c r="V132" s="124"/>
      <c r="W132" s="116"/>
      <c r="X132" s="116"/>
      <c r="Y132" s="124"/>
      <c r="Z132" s="124"/>
      <c r="AA132" s="116"/>
      <c r="AB132" s="116"/>
      <c r="AC132" s="124"/>
      <c r="AD132" s="124"/>
      <c r="AE132" s="116"/>
      <c r="AF132" s="116"/>
      <c r="AG132" s="124"/>
      <c r="AH132" s="124"/>
      <c r="AI132" s="116"/>
      <c r="AJ132" s="116"/>
      <c r="AK132" s="124"/>
      <c r="AL132" s="124"/>
      <c r="AM132" s="116"/>
      <c r="AN132" s="116"/>
      <c r="AO132" s="124"/>
      <c r="AP132" s="116"/>
      <c r="AQ132" s="125"/>
      <c r="AR132" s="124"/>
      <c r="AS132" s="116"/>
      <c r="AT132" s="126"/>
      <c r="AU132" s="118"/>
      <c r="AV132" s="144"/>
      <c r="AW132" s="126"/>
      <c r="AX132" s="126"/>
      <c r="AY132" s="127"/>
      <c r="AZ132" s="130"/>
      <c r="BA132" s="9"/>
      <c r="BB132" s="9"/>
      <c r="BC132" s="9"/>
      <c r="BD132" s="9"/>
      <c r="BE132" s="37"/>
      <c r="BF132" s="37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</row>
    <row r="133" spans="1:93" s="4" customFormat="1" ht="274.5" outlineLevel="1" x14ac:dyDescent="0.25">
      <c r="A133" s="111">
        <f>A131+1</f>
        <v>95</v>
      </c>
      <c r="B133" s="112" t="s">
        <v>181</v>
      </c>
      <c r="C133" s="113" t="s">
        <v>141</v>
      </c>
      <c r="D133" s="114" t="s">
        <v>19</v>
      </c>
      <c r="E133" s="115">
        <f t="shared" si="151"/>
        <v>2253.9</v>
      </c>
      <c r="F133" s="116">
        <v>0</v>
      </c>
      <c r="G133" s="116">
        <f t="shared" si="152"/>
        <v>16.666666666666668</v>
      </c>
      <c r="H133" s="116">
        <v>20</v>
      </c>
      <c r="I133" s="116">
        <f>H133*F133</f>
        <v>0</v>
      </c>
      <c r="J133" s="115">
        <v>638.29999999999995</v>
      </c>
      <c r="K133" s="116">
        <f t="shared" si="153"/>
        <v>12.916666666666668</v>
      </c>
      <c r="L133" s="116">
        <v>15.5</v>
      </c>
      <c r="M133" s="116">
        <f>L133*J133</f>
        <v>9893.65</v>
      </c>
      <c r="N133" s="117">
        <v>497.4</v>
      </c>
      <c r="O133" s="116">
        <f t="shared" si="154"/>
        <v>4.666666666666667</v>
      </c>
      <c r="P133" s="116">
        <v>5.6</v>
      </c>
      <c r="Q133" s="116">
        <f>P133*N133</f>
        <v>2785.4399999999996</v>
      </c>
      <c r="R133" s="115">
        <v>0</v>
      </c>
      <c r="S133" s="116">
        <f t="shared" si="162"/>
        <v>15.583333333333334</v>
      </c>
      <c r="T133" s="116">
        <v>18.7</v>
      </c>
      <c r="U133" s="116">
        <f>T133*R133</f>
        <v>0</v>
      </c>
      <c r="V133" s="116">
        <v>54</v>
      </c>
      <c r="W133" s="116">
        <f t="shared" si="155"/>
        <v>6.416666666666667</v>
      </c>
      <c r="X133" s="116">
        <v>7.7</v>
      </c>
      <c r="Y133" s="116">
        <f>X133*V133</f>
        <v>415.8</v>
      </c>
      <c r="Z133" s="115">
        <v>379.7</v>
      </c>
      <c r="AA133" s="116">
        <f t="shared" si="156"/>
        <v>6</v>
      </c>
      <c r="AB133" s="116">
        <v>7.2</v>
      </c>
      <c r="AC133" s="116">
        <f>AB133*Z133</f>
        <v>2733.84</v>
      </c>
      <c r="AD133" s="116">
        <v>0</v>
      </c>
      <c r="AE133" s="116">
        <f t="shared" si="157"/>
        <v>4.666666666666667</v>
      </c>
      <c r="AF133" s="116">
        <v>5.6</v>
      </c>
      <c r="AG133" s="116">
        <f>AF133*AD133</f>
        <v>0</v>
      </c>
      <c r="AH133" s="117">
        <v>609.1</v>
      </c>
      <c r="AI133" s="116">
        <f t="shared" si="158"/>
        <v>8.3333333333333339</v>
      </c>
      <c r="AJ133" s="116">
        <v>10</v>
      </c>
      <c r="AK133" s="116">
        <f>AJ133*AH133</f>
        <v>6091</v>
      </c>
      <c r="AL133" s="117">
        <v>75.400000000000006</v>
      </c>
      <c r="AM133" s="116">
        <f t="shared" si="159"/>
        <v>12.750000000000002</v>
      </c>
      <c r="AN133" s="116">
        <v>15.3</v>
      </c>
      <c r="AO133" s="116">
        <f>AN133*AL133</f>
        <v>1153.6200000000001</v>
      </c>
      <c r="AP133" s="116">
        <f t="shared" si="160"/>
        <v>19227.791666666668</v>
      </c>
      <c r="AQ133" s="116">
        <f t="shared" si="132"/>
        <v>23073.35</v>
      </c>
      <c r="AR133" s="117">
        <v>863.8</v>
      </c>
      <c r="AS133" s="116" t="s">
        <v>210</v>
      </c>
      <c r="AT133" s="118">
        <v>0</v>
      </c>
      <c r="AU133" s="118">
        <f t="shared" si="161"/>
        <v>6.1000000000000005</v>
      </c>
      <c r="AV133" s="144">
        <v>7.32</v>
      </c>
      <c r="AW133" s="118">
        <f>AU133*AR133</f>
        <v>5269.18</v>
      </c>
      <c r="AX133" s="118">
        <f>AV133*AR133</f>
        <v>6323.0159999999996</v>
      </c>
      <c r="AY133" s="119">
        <f t="shared" si="135"/>
        <v>24496.971666666668</v>
      </c>
      <c r="AZ133" s="120">
        <f t="shared" si="135"/>
        <v>29396.365999999998</v>
      </c>
      <c r="BA133" s="9"/>
      <c r="BB133" s="9"/>
      <c r="BC133" s="9"/>
      <c r="BD133" s="9"/>
      <c r="BE133" s="37"/>
      <c r="BF133" s="37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</row>
    <row r="134" spans="1:93" s="4" customFormat="1" ht="366" outlineLevel="1" x14ac:dyDescent="0.25">
      <c r="A134" s="111">
        <f>A133+1</f>
        <v>96</v>
      </c>
      <c r="B134" s="112" t="s">
        <v>177</v>
      </c>
      <c r="C134" s="113" t="s">
        <v>132</v>
      </c>
      <c r="D134" s="114" t="s">
        <v>19</v>
      </c>
      <c r="E134" s="115">
        <f t="shared" si="151"/>
        <v>598.20000000000005</v>
      </c>
      <c r="F134" s="116">
        <v>0</v>
      </c>
      <c r="G134" s="116">
        <f t="shared" si="152"/>
        <v>16.666666666666668</v>
      </c>
      <c r="H134" s="116">
        <v>20</v>
      </c>
      <c r="I134" s="116">
        <f>H134*F134</f>
        <v>0</v>
      </c>
      <c r="J134" s="115">
        <v>105.3</v>
      </c>
      <c r="K134" s="116">
        <f t="shared" si="153"/>
        <v>12.916666666666668</v>
      </c>
      <c r="L134" s="116">
        <v>15.5</v>
      </c>
      <c r="M134" s="116">
        <f>L134*J134</f>
        <v>1632.1499999999999</v>
      </c>
      <c r="N134" s="117">
        <v>107.5</v>
      </c>
      <c r="O134" s="116">
        <f t="shared" si="154"/>
        <v>4.666666666666667</v>
      </c>
      <c r="P134" s="116">
        <v>5.6</v>
      </c>
      <c r="Q134" s="116">
        <f>P134*N134</f>
        <v>602</v>
      </c>
      <c r="R134" s="115">
        <v>0</v>
      </c>
      <c r="S134" s="116">
        <f t="shared" si="162"/>
        <v>15.583333333333334</v>
      </c>
      <c r="T134" s="116">
        <v>18.7</v>
      </c>
      <c r="U134" s="116">
        <f>T134*R134</f>
        <v>0</v>
      </c>
      <c r="V134" s="116">
        <v>30.2</v>
      </c>
      <c r="W134" s="116">
        <f t="shared" si="155"/>
        <v>6.416666666666667</v>
      </c>
      <c r="X134" s="116">
        <v>7.7</v>
      </c>
      <c r="Y134" s="116">
        <f>X134*V134</f>
        <v>232.54</v>
      </c>
      <c r="Z134" s="115">
        <v>218.5</v>
      </c>
      <c r="AA134" s="116">
        <f t="shared" si="156"/>
        <v>6</v>
      </c>
      <c r="AB134" s="116">
        <v>7.2</v>
      </c>
      <c r="AC134" s="116">
        <f>AB134*Z134</f>
        <v>1573.2</v>
      </c>
      <c r="AD134" s="116">
        <v>0</v>
      </c>
      <c r="AE134" s="116">
        <f t="shared" si="157"/>
        <v>4.666666666666667</v>
      </c>
      <c r="AF134" s="116">
        <v>5.6</v>
      </c>
      <c r="AG134" s="116">
        <f>AF134*AD134</f>
        <v>0</v>
      </c>
      <c r="AH134" s="117">
        <v>118.6</v>
      </c>
      <c r="AI134" s="116">
        <f t="shared" si="158"/>
        <v>8.3333333333333339</v>
      </c>
      <c r="AJ134" s="116">
        <v>10</v>
      </c>
      <c r="AK134" s="116">
        <f>AJ134*AH134</f>
        <v>1186</v>
      </c>
      <c r="AL134" s="117">
        <v>18.100000000000001</v>
      </c>
      <c r="AM134" s="116">
        <f t="shared" si="159"/>
        <v>12.750000000000002</v>
      </c>
      <c r="AN134" s="116">
        <v>15.3</v>
      </c>
      <c r="AO134" s="116">
        <f>AN134*AL134</f>
        <v>276.93</v>
      </c>
      <c r="AP134" s="116">
        <f t="shared" si="160"/>
        <v>4585.6833333333334</v>
      </c>
      <c r="AQ134" s="116">
        <f t="shared" si="132"/>
        <v>5502.82</v>
      </c>
      <c r="AR134" s="117">
        <f>460*2</f>
        <v>920</v>
      </c>
      <c r="AS134" s="116" t="s">
        <v>210</v>
      </c>
      <c r="AT134" s="118">
        <v>0</v>
      </c>
      <c r="AU134" s="118">
        <f t="shared" si="161"/>
        <v>6.1000000000000005</v>
      </c>
      <c r="AV134" s="144">
        <v>7.32</v>
      </c>
      <c r="AW134" s="118">
        <f>AU134*AR134</f>
        <v>5612.0000000000009</v>
      </c>
      <c r="AX134" s="118">
        <f>AV134*AR134</f>
        <v>6734.4000000000005</v>
      </c>
      <c r="AY134" s="119">
        <f t="shared" si="135"/>
        <v>10197.683333333334</v>
      </c>
      <c r="AZ134" s="120">
        <f t="shared" si="135"/>
        <v>12237.220000000001</v>
      </c>
      <c r="BA134" s="9"/>
      <c r="BB134" s="9"/>
      <c r="BC134" s="9"/>
      <c r="BD134" s="9"/>
      <c r="BE134" s="37"/>
      <c r="BF134" s="37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</row>
    <row r="135" spans="1:93" s="4" customFormat="1" ht="45.75" outlineLevel="1" x14ac:dyDescent="0.25">
      <c r="A135" s="160" t="s">
        <v>165</v>
      </c>
      <c r="B135" s="161"/>
      <c r="C135" s="161"/>
      <c r="D135" s="124"/>
      <c r="E135" s="115"/>
      <c r="F135" s="124"/>
      <c r="G135" s="116"/>
      <c r="H135" s="124"/>
      <c r="I135" s="124"/>
      <c r="J135" s="124"/>
      <c r="K135" s="116"/>
      <c r="L135" s="116"/>
      <c r="M135" s="124"/>
      <c r="N135" s="124"/>
      <c r="O135" s="116"/>
      <c r="P135" s="116"/>
      <c r="Q135" s="124"/>
      <c r="R135" s="124"/>
      <c r="S135" s="116"/>
      <c r="T135" s="116"/>
      <c r="U135" s="124"/>
      <c r="V135" s="124"/>
      <c r="W135" s="116"/>
      <c r="X135" s="116"/>
      <c r="Y135" s="124"/>
      <c r="Z135" s="124"/>
      <c r="AA135" s="116"/>
      <c r="AB135" s="116"/>
      <c r="AC135" s="124"/>
      <c r="AD135" s="124"/>
      <c r="AE135" s="116"/>
      <c r="AF135" s="116"/>
      <c r="AG135" s="124"/>
      <c r="AH135" s="124"/>
      <c r="AI135" s="116"/>
      <c r="AJ135" s="116"/>
      <c r="AK135" s="124"/>
      <c r="AL135" s="124"/>
      <c r="AM135" s="116"/>
      <c r="AN135" s="116"/>
      <c r="AO135" s="124"/>
      <c r="AP135" s="116"/>
      <c r="AQ135" s="129"/>
      <c r="AR135" s="124"/>
      <c r="AS135" s="116"/>
      <c r="AT135" s="126"/>
      <c r="AU135" s="118"/>
      <c r="AV135" s="144"/>
      <c r="AW135" s="126"/>
      <c r="AX135" s="126"/>
      <c r="AY135" s="127"/>
      <c r="AZ135" s="130"/>
      <c r="BA135" s="9"/>
      <c r="BB135" s="9"/>
      <c r="BC135" s="9"/>
      <c r="BD135" s="9"/>
      <c r="BE135" s="37"/>
      <c r="BF135" s="37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</row>
    <row r="136" spans="1:93" s="4" customFormat="1" ht="274.5" outlineLevel="1" x14ac:dyDescent="0.25">
      <c r="A136" s="111">
        <f>A134+1</f>
        <v>97</v>
      </c>
      <c r="B136" s="112" t="s">
        <v>177</v>
      </c>
      <c r="C136" s="113" t="s">
        <v>137</v>
      </c>
      <c r="D136" s="114" t="s">
        <v>19</v>
      </c>
      <c r="E136" s="115">
        <f t="shared" si="151"/>
        <v>2753.7</v>
      </c>
      <c r="F136" s="116">
        <v>0</v>
      </c>
      <c r="G136" s="116">
        <f t="shared" si="152"/>
        <v>16.666666666666668</v>
      </c>
      <c r="H136" s="116">
        <v>20</v>
      </c>
      <c r="I136" s="116">
        <f t="shared" ref="I136:I139" si="172">H136*F136</f>
        <v>0</v>
      </c>
      <c r="J136" s="115">
        <v>211.9</v>
      </c>
      <c r="K136" s="116">
        <f t="shared" si="153"/>
        <v>12.916666666666668</v>
      </c>
      <c r="L136" s="116">
        <v>15.5</v>
      </c>
      <c r="M136" s="116">
        <f t="shared" ref="M136:M139" si="173">L136*J136</f>
        <v>3284.4500000000003</v>
      </c>
      <c r="N136" s="117">
        <v>238.6</v>
      </c>
      <c r="O136" s="116">
        <f t="shared" si="154"/>
        <v>4.666666666666667</v>
      </c>
      <c r="P136" s="116">
        <v>5.6</v>
      </c>
      <c r="Q136" s="116">
        <f t="shared" ref="Q136:Q139" si="174">P136*N136</f>
        <v>1336.1599999999999</v>
      </c>
      <c r="R136" s="115">
        <v>0</v>
      </c>
      <c r="S136" s="116">
        <f t="shared" si="162"/>
        <v>15.583333333333334</v>
      </c>
      <c r="T136" s="116">
        <v>18.7</v>
      </c>
      <c r="U136" s="116">
        <f t="shared" ref="U136:U139" si="175">T136*R136</f>
        <v>0</v>
      </c>
      <c r="V136" s="116">
        <v>196.5</v>
      </c>
      <c r="W136" s="116">
        <f t="shared" si="155"/>
        <v>6.416666666666667</v>
      </c>
      <c r="X136" s="116">
        <v>7.7</v>
      </c>
      <c r="Y136" s="116">
        <f t="shared" ref="Y136:Y139" si="176">X136*V136</f>
        <v>1513.05</v>
      </c>
      <c r="Z136" s="115">
        <v>1066.5</v>
      </c>
      <c r="AA136" s="116">
        <f t="shared" si="156"/>
        <v>6</v>
      </c>
      <c r="AB136" s="116">
        <v>7.2</v>
      </c>
      <c r="AC136" s="116">
        <f t="shared" ref="AC136:AC139" si="177">AB136*Z136</f>
        <v>7678.8</v>
      </c>
      <c r="AD136" s="116">
        <v>0</v>
      </c>
      <c r="AE136" s="116">
        <f t="shared" si="157"/>
        <v>4.666666666666667</v>
      </c>
      <c r="AF136" s="116">
        <v>5.6</v>
      </c>
      <c r="AG136" s="116">
        <f t="shared" ref="AG136:AG139" si="178">AF136*AD136</f>
        <v>0</v>
      </c>
      <c r="AH136" s="117">
        <v>967.6</v>
      </c>
      <c r="AI136" s="116">
        <f t="shared" si="158"/>
        <v>8.3333333333333339</v>
      </c>
      <c r="AJ136" s="116">
        <v>10</v>
      </c>
      <c r="AK136" s="116">
        <f t="shared" ref="AK136:AK139" si="179">AJ136*AH136</f>
        <v>9676</v>
      </c>
      <c r="AL136" s="117">
        <v>72.599999999999994</v>
      </c>
      <c r="AM136" s="116">
        <f t="shared" si="159"/>
        <v>12.750000000000002</v>
      </c>
      <c r="AN136" s="116">
        <v>15.3</v>
      </c>
      <c r="AO136" s="116">
        <f t="shared" ref="AO136:AO139" si="180">AN136*AL136</f>
        <v>1110.78</v>
      </c>
      <c r="AP136" s="116">
        <f t="shared" si="160"/>
        <v>20499.366666666665</v>
      </c>
      <c r="AQ136" s="116">
        <f t="shared" si="132"/>
        <v>24599.239999999998</v>
      </c>
      <c r="AR136" s="117">
        <f>300*5</f>
        <v>1500</v>
      </c>
      <c r="AS136" s="116" t="s">
        <v>210</v>
      </c>
      <c r="AT136" s="118">
        <v>0</v>
      </c>
      <c r="AU136" s="118">
        <f t="shared" si="161"/>
        <v>6.1000000000000005</v>
      </c>
      <c r="AV136" s="144">
        <v>7.32</v>
      </c>
      <c r="AW136" s="118">
        <f t="shared" ref="AW136:AW139" si="181">AU136*AR136</f>
        <v>9150</v>
      </c>
      <c r="AX136" s="118">
        <f t="shared" ref="AX136:AX139" si="182">AV136*AR136</f>
        <v>10980</v>
      </c>
      <c r="AY136" s="119">
        <f t="shared" si="135"/>
        <v>29649.366666666665</v>
      </c>
      <c r="AZ136" s="120">
        <f t="shared" si="135"/>
        <v>35579.24</v>
      </c>
      <c r="BA136" s="9"/>
      <c r="BB136" s="9"/>
      <c r="BC136" s="9"/>
      <c r="BD136" s="9"/>
      <c r="BE136" s="37"/>
      <c r="BF136" s="37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</row>
    <row r="137" spans="1:93" s="4" customFormat="1" ht="274.5" outlineLevel="1" x14ac:dyDescent="0.25">
      <c r="A137" s="111">
        <v>98</v>
      </c>
      <c r="B137" s="112" t="s">
        <v>177</v>
      </c>
      <c r="C137" s="113" t="s">
        <v>138</v>
      </c>
      <c r="D137" s="114" t="s">
        <v>19</v>
      </c>
      <c r="E137" s="115">
        <f t="shared" si="151"/>
        <v>255.70000000000002</v>
      </c>
      <c r="F137" s="116">
        <v>0</v>
      </c>
      <c r="G137" s="116">
        <f t="shared" si="152"/>
        <v>16.666666666666668</v>
      </c>
      <c r="H137" s="116">
        <v>20</v>
      </c>
      <c r="I137" s="116">
        <f t="shared" si="172"/>
        <v>0</v>
      </c>
      <c r="J137" s="115">
        <v>0</v>
      </c>
      <c r="K137" s="116">
        <f t="shared" si="153"/>
        <v>12.916666666666668</v>
      </c>
      <c r="L137" s="116">
        <v>15.5</v>
      </c>
      <c r="M137" s="116">
        <f t="shared" si="173"/>
        <v>0</v>
      </c>
      <c r="N137" s="117">
        <v>66.2</v>
      </c>
      <c r="O137" s="116">
        <f t="shared" si="154"/>
        <v>4.666666666666667</v>
      </c>
      <c r="P137" s="116">
        <v>5.6</v>
      </c>
      <c r="Q137" s="116">
        <f t="shared" si="174"/>
        <v>370.71999999999997</v>
      </c>
      <c r="R137" s="115">
        <v>0</v>
      </c>
      <c r="S137" s="116">
        <f t="shared" si="162"/>
        <v>15.583333333333334</v>
      </c>
      <c r="T137" s="116">
        <v>18.7</v>
      </c>
      <c r="U137" s="116">
        <f t="shared" si="175"/>
        <v>0</v>
      </c>
      <c r="V137" s="116">
        <v>14.7</v>
      </c>
      <c r="W137" s="116">
        <f t="shared" si="155"/>
        <v>6.416666666666667</v>
      </c>
      <c r="X137" s="116">
        <v>7.7</v>
      </c>
      <c r="Y137" s="116">
        <f t="shared" si="176"/>
        <v>113.19</v>
      </c>
      <c r="Z137" s="115">
        <v>119.2</v>
      </c>
      <c r="AA137" s="116">
        <f t="shared" si="156"/>
        <v>6</v>
      </c>
      <c r="AB137" s="116">
        <v>7.2</v>
      </c>
      <c r="AC137" s="116">
        <f t="shared" si="177"/>
        <v>858.24</v>
      </c>
      <c r="AD137" s="116">
        <v>0</v>
      </c>
      <c r="AE137" s="116">
        <f t="shared" si="157"/>
        <v>4.666666666666667</v>
      </c>
      <c r="AF137" s="116">
        <v>5.6</v>
      </c>
      <c r="AG137" s="116">
        <f t="shared" si="178"/>
        <v>0</v>
      </c>
      <c r="AH137" s="117">
        <v>51.6</v>
      </c>
      <c r="AI137" s="116">
        <f t="shared" si="158"/>
        <v>8.3333333333333339</v>
      </c>
      <c r="AJ137" s="116">
        <v>10</v>
      </c>
      <c r="AK137" s="116">
        <f t="shared" si="179"/>
        <v>516</v>
      </c>
      <c r="AL137" s="117">
        <v>4</v>
      </c>
      <c r="AM137" s="116">
        <f t="shared" si="159"/>
        <v>12.750000000000002</v>
      </c>
      <c r="AN137" s="116">
        <v>15.3</v>
      </c>
      <c r="AO137" s="116">
        <f t="shared" si="180"/>
        <v>61.2</v>
      </c>
      <c r="AP137" s="116">
        <f t="shared" si="160"/>
        <v>1599.4583333333335</v>
      </c>
      <c r="AQ137" s="116">
        <f t="shared" si="132"/>
        <v>1919.3500000000001</v>
      </c>
      <c r="AR137" s="117">
        <v>0</v>
      </c>
      <c r="AS137" s="116" t="s">
        <v>210</v>
      </c>
      <c r="AT137" s="118">
        <v>0</v>
      </c>
      <c r="AU137" s="118">
        <f t="shared" si="161"/>
        <v>6.1000000000000005</v>
      </c>
      <c r="AV137" s="144">
        <v>7.32</v>
      </c>
      <c r="AW137" s="118">
        <f t="shared" si="181"/>
        <v>0</v>
      </c>
      <c r="AX137" s="118">
        <f t="shared" si="182"/>
        <v>0</v>
      </c>
      <c r="AY137" s="119">
        <f t="shared" si="135"/>
        <v>1599.4583333333335</v>
      </c>
      <c r="AZ137" s="120">
        <f t="shared" si="135"/>
        <v>1919.3500000000001</v>
      </c>
      <c r="BA137" s="9"/>
      <c r="BB137" s="9"/>
      <c r="BC137" s="9"/>
      <c r="BD137" s="9"/>
      <c r="BE137" s="37"/>
      <c r="BF137" s="37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</row>
    <row r="138" spans="1:93" s="4" customFormat="1" ht="274.5" outlineLevel="1" x14ac:dyDescent="0.25">
      <c r="A138" s="111">
        <f t="shared" ref="A138:A139" si="183">A137+1</f>
        <v>99</v>
      </c>
      <c r="B138" s="112" t="s">
        <v>177</v>
      </c>
      <c r="C138" s="113" t="s">
        <v>139</v>
      </c>
      <c r="D138" s="114" t="s">
        <v>19</v>
      </c>
      <c r="E138" s="115">
        <f t="shared" si="151"/>
        <v>346.6</v>
      </c>
      <c r="F138" s="116">
        <v>0</v>
      </c>
      <c r="G138" s="116">
        <f t="shared" si="152"/>
        <v>16.666666666666668</v>
      </c>
      <c r="H138" s="116">
        <v>20</v>
      </c>
      <c r="I138" s="116">
        <f t="shared" si="172"/>
        <v>0</v>
      </c>
      <c r="J138" s="115">
        <v>0</v>
      </c>
      <c r="K138" s="116">
        <f t="shared" si="153"/>
        <v>12.916666666666668</v>
      </c>
      <c r="L138" s="116">
        <v>15.5</v>
      </c>
      <c r="M138" s="116">
        <f t="shared" si="173"/>
        <v>0</v>
      </c>
      <c r="N138" s="117">
        <v>173</v>
      </c>
      <c r="O138" s="116">
        <f t="shared" si="154"/>
        <v>4.666666666666667</v>
      </c>
      <c r="P138" s="116">
        <v>5.6</v>
      </c>
      <c r="Q138" s="116">
        <f t="shared" si="174"/>
        <v>968.8</v>
      </c>
      <c r="R138" s="115">
        <v>0</v>
      </c>
      <c r="S138" s="116">
        <f t="shared" si="162"/>
        <v>15.583333333333334</v>
      </c>
      <c r="T138" s="116">
        <v>18.7</v>
      </c>
      <c r="U138" s="116">
        <f t="shared" si="175"/>
        <v>0</v>
      </c>
      <c r="V138" s="116">
        <v>0</v>
      </c>
      <c r="W138" s="116">
        <f t="shared" si="155"/>
        <v>6.416666666666667</v>
      </c>
      <c r="X138" s="116">
        <v>7.7</v>
      </c>
      <c r="Y138" s="116">
        <f t="shared" si="176"/>
        <v>0</v>
      </c>
      <c r="Z138" s="115">
        <v>32</v>
      </c>
      <c r="AA138" s="116">
        <f t="shared" si="156"/>
        <v>6</v>
      </c>
      <c r="AB138" s="116">
        <v>7.2</v>
      </c>
      <c r="AC138" s="116">
        <f t="shared" si="177"/>
        <v>230.4</v>
      </c>
      <c r="AD138" s="116">
        <v>0</v>
      </c>
      <c r="AE138" s="116">
        <f t="shared" si="157"/>
        <v>4.666666666666667</v>
      </c>
      <c r="AF138" s="116">
        <v>5.6</v>
      </c>
      <c r="AG138" s="116">
        <f t="shared" si="178"/>
        <v>0</v>
      </c>
      <c r="AH138" s="117">
        <v>129.1</v>
      </c>
      <c r="AI138" s="116">
        <f t="shared" si="158"/>
        <v>8.3333333333333339</v>
      </c>
      <c r="AJ138" s="116">
        <v>10</v>
      </c>
      <c r="AK138" s="116">
        <f t="shared" si="179"/>
        <v>1291</v>
      </c>
      <c r="AL138" s="117">
        <v>12.5</v>
      </c>
      <c r="AM138" s="116">
        <f t="shared" si="159"/>
        <v>12.750000000000002</v>
      </c>
      <c r="AN138" s="116">
        <v>15.3</v>
      </c>
      <c r="AO138" s="116">
        <f t="shared" si="180"/>
        <v>191.25</v>
      </c>
      <c r="AP138" s="116">
        <f t="shared" si="160"/>
        <v>2234.5416666666665</v>
      </c>
      <c r="AQ138" s="116">
        <f t="shared" si="132"/>
        <v>2681.45</v>
      </c>
      <c r="AR138" s="117">
        <v>250</v>
      </c>
      <c r="AS138" s="116" t="s">
        <v>210</v>
      </c>
      <c r="AT138" s="118">
        <v>0</v>
      </c>
      <c r="AU138" s="118">
        <f t="shared" si="161"/>
        <v>6.1000000000000005</v>
      </c>
      <c r="AV138" s="144">
        <v>7.32</v>
      </c>
      <c r="AW138" s="118">
        <f t="shared" si="181"/>
        <v>1525.0000000000002</v>
      </c>
      <c r="AX138" s="118">
        <f t="shared" si="182"/>
        <v>1830</v>
      </c>
      <c r="AY138" s="119">
        <f t="shared" si="135"/>
        <v>3759.541666666667</v>
      </c>
      <c r="AZ138" s="120">
        <f t="shared" si="135"/>
        <v>4511.45</v>
      </c>
      <c r="BA138" s="9"/>
      <c r="BB138" s="9"/>
      <c r="BC138" s="9"/>
      <c r="BD138" s="9"/>
      <c r="BE138" s="37"/>
      <c r="BF138" s="37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</row>
    <row r="139" spans="1:93" s="4" customFormat="1" ht="274.5" outlineLevel="1" x14ac:dyDescent="0.25">
      <c r="A139" s="111">
        <f t="shared" si="183"/>
        <v>100</v>
      </c>
      <c r="B139" s="112" t="s">
        <v>177</v>
      </c>
      <c r="C139" s="113" t="s">
        <v>140</v>
      </c>
      <c r="D139" s="114" t="s">
        <v>19</v>
      </c>
      <c r="E139" s="115">
        <f t="shared" si="151"/>
        <v>157.79999999999998</v>
      </c>
      <c r="F139" s="116">
        <v>0</v>
      </c>
      <c r="G139" s="116">
        <f t="shared" si="152"/>
        <v>16.666666666666668</v>
      </c>
      <c r="H139" s="116">
        <v>20</v>
      </c>
      <c r="I139" s="116">
        <f t="shared" si="172"/>
        <v>0</v>
      </c>
      <c r="J139" s="115">
        <v>0</v>
      </c>
      <c r="K139" s="116">
        <f t="shared" si="153"/>
        <v>12.916666666666668</v>
      </c>
      <c r="L139" s="116">
        <v>15.5</v>
      </c>
      <c r="M139" s="116">
        <f t="shared" si="173"/>
        <v>0</v>
      </c>
      <c r="N139" s="117">
        <v>38.4</v>
      </c>
      <c r="O139" s="116">
        <f t="shared" si="154"/>
        <v>4.666666666666667</v>
      </c>
      <c r="P139" s="116">
        <v>5.6</v>
      </c>
      <c r="Q139" s="116">
        <f t="shared" si="174"/>
        <v>215.04</v>
      </c>
      <c r="R139" s="115">
        <v>0</v>
      </c>
      <c r="S139" s="116">
        <f t="shared" si="162"/>
        <v>15.583333333333334</v>
      </c>
      <c r="T139" s="116">
        <v>18.7</v>
      </c>
      <c r="U139" s="116">
        <f t="shared" si="175"/>
        <v>0</v>
      </c>
      <c r="V139" s="116">
        <v>0</v>
      </c>
      <c r="W139" s="116">
        <f t="shared" si="155"/>
        <v>6.416666666666667</v>
      </c>
      <c r="X139" s="116">
        <v>7.7</v>
      </c>
      <c r="Y139" s="116">
        <f t="shared" si="176"/>
        <v>0</v>
      </c>
      <c r="Z139" s="115">
        <f>5.6+11.8+91.1+7.8</f>
        <v>116.3</v>
      </c>
      <c r="AA139" s="116">
        <f t="shared" si="156"/>
        <v>6</v>
      </c>
      <c r="AB139" s="116">
        <v>7.2</v>
      </c>
      <c r="AC139" s="116">
        <f t="shared" si="177"/>
        <v>837.36</v>
      </c>
      <c r="AD139" s="116">
        <v>0</v>
      </c>
      <c r="AE139" s="116">
        <f t="shared" si="157"/>
        <v>4.666666666666667</v>
      </c>
      <c r="AF139" s="116">
        <v>5.6</v>
      </c>
      <c r="AG139" s="116">
        <f t="shared" si="178"/>
        <v>0</v>
      </c>
      <c r="AH139" s="117">
        <v>0</v>
      </c>
      <c r="AI139" s="116">
        <f t="shared" si="158"/>
        <v>8.3333333333333339</v>
      </c>
      <c r="AJ139" s="116">
        <v>10</v>
      </c>
      <c r="AK139" s="116">
        <f t="shared" si="179"/>
        <v>0</v>
      </c>
      <c r="AL139" s="117">
        <v>3.1</v>
      </c>
      <c r="AM139" s="116">
        <f t="shared" si="159"/>
        <v>12.750000000000002</v>
      </c>
      <c r="AN139" s="116">
        <v>15.3</v>
      </c>
      <c r="AO139" s="116">
        <f t="shared" si="180"/>
        <v>47.430000000000007</v>
      </c>
      <c r="AP139" s="116">
        <f t="shared" si="160"/>
        <v>916.5250000000002</v>
      </c>
      <c r="AQ139" s="116">
        <f t="shared" si="132"/>
        <v>1099.8300000000002</v>
      </c>
      <c r="AR139" s="117">
        <v>510</v>
      </c>
      <c r="AS139" s="116" t="s">
        <v>210</v>
      </c>
      <c r="AT139" s="118">
        <v>0</v>
      </c>
      <c r="AU139" s="118">
        <f t="shared" si="161"/>
        <v>6.1000000000000005</v>
      </c>
      <c r="AV139" s="144">
        <v>7.32</v>
      </c>
      <c r="AW139" s="118">
        <f t="shared" si="181"/>
        <v>3111.0000000000005</v>
      </c>
      <c r="AX139" s="118">
        <f t="shared" si="182"/>
        <v>3733.2000000000003</v>
      </c>
      <c r="AY139" s="119">
        <f t="shared" si="135"/>
        <v>4027.5250000000005</v>
      </c>
      <c r="AZ139" s="120">
        <f t="shared" si="135"/>
        <v>4833.0300000000007</v>
      </c>
      <c r="BA139" s="9"/>
      <c r="BB139" s="9"/>
      <c r="BC139" s="9"/>
      <c r="BD139" s="9"/>
      <c r="BE139" s="37"/>
      <c r="BF139" s="37"/>
      <c r="BG139" s="35"/>
      <c r="BH139" s="35"/>
      <c r="BI139" s="35"/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</row>
    <row r="140" spans="1:93" s="5" customFormat="1" ht="45.75" outlineLevel="1" x14ac:dyDescent="0.25">
      <c r="A140" s="160" t="s">
        <v>167</v>
      </c>
      <c r="B140" s="161"/>
      <c r="C140" s="161"/>
      <c r="D140" s="124"/>
      <c r="E140" s="115"/>
      <c r="F140" s="124"/>
      <c r="G140" s="116"/>
      <c r="H140" s="124"/>
      <c r="I140" s="124"/>
      <c r="J140" s="124"/>
      <c r="K140" s="116"/>
      <c r="L140" s="116"/>
      <c r="M140" s="124"/>
      <c r="N140" s="124"/>
      <c r="O140" s="116"/>
      <c r="P140" s="116"/>
      <c r="Q140" s="124"/>
      <c r="R140" s="124"/>
      <c r="S140" s="116"/>
      <c r="T140" s="116"/>
      <c r="U140" s="124"/>
      <c r="V140" s="124"/>
      <c r="W140" s="116"/>
      <c r="X140" s="116"/>
      <c r="Y140" s="124"/>
      <c r="Z140" s="124"/>
      <c r="AA140" s="116"/>
      <c r="AB140" s="116"/>
      <c r="AC140" s="124"/>
      <c r="AD140" s="124"/>
      <c r="AE140" s="116"/>
      <c r="AF140" s="116"/>
      <c r="AG140" s="124"/>
      <c r="AH140" s="124"/>
      <c r="AI140" s="116"/>
      <c r="AJ140" s="116"/>
      <c r="AK140" s="124"/>
      <c r="AL140" s="124"/>
      <c r="AM140" s="116"/>
      <c r="AN140" s="116"/>
      <c r="AO140" s="124"/>
      <c r="AP140" s="116"/>
      <c r="AQ140" s="129"/>
      <c r="AR140" s="124"/>
      <c r="AS140" s="116"/>
      <c r="AT140" s="126"/>
      <c r="AU140" s="118"/>
      <c r="AV140" s="144"/>
      <c r="AW140" s="126"/>
      <c r="AX140" s="126"/>
      <c r="AY140" s="119"/>
      <c r="AZ140" s="120"/>
      <c r="BA140" s="9"/>
      <c r="BB140" s="9"/>
      <c r="BC140" s="9"/>
      <c r="BD140" s="9"/>
      <c r="BE140" s="9"/>
      <c r="BF140" s="9"/>
      <c r="CJ140" s="35"/>
      <c r="CK140" s="35"/>
      <c r="CL140" s="35"/>
      <c r="CM140" s="35"/>
      <c r="CN140" s="35"/>
      <c r="CO140" s="35"/>
    </row>
    <row r="141" spans="1:93" s="4" customFormat="1" ht="320.25" outlineLevel="1" x14ac:dyDescent="0.25">
      <c r="A141" s="111">
        <v>102</v>
      </c>
      <c r="B141" s="112" t="s">
        <v>177</v>
      </c>
      <c r="C141" s="113" t="s">
        <v>142</v>
      </c>
      <c r="D141" s="114" t="s">
        <v>19</v>
      </c>
      <c r="E141" s="115">
        <f t="shared" si="151"/>
        <v>484.20000000000005</v>
      </c>
      <c r="F141" s="116">
        <v>0</v>
      </c>
      <c r="G141" s="116">
        <f t="shared" si="152"/>
        <v>16.666666666666668</v>
      </c>
      <c r="H141" s="116">
        <v>20</v>
      </c>
      <c r="I141" s="116">
        <f>H141*F141</f>
        <v>0</v>
      </c>
      <c r="J141" s="115">
        <v>200.8</v>
      </c>
      <c r="K141" s="116">
        <f t="shared" si="153"/>
        <v>12.916666666666668</v>
      </c>
      <c r="L141" s="116">
        <v>15.5</v>
      </c>
      <c r="M141" s="116">
        <f>L141*J141</f>
        <v>3112.4</v>
      </c>
      <c r="N141" s="117">
        <v>43.8</v>
      </c>
      <c r="O141" s="116">
        <f t="shared" si="154"/>
        <v>4.666666666666667</v>
      </c>
      <c r="P141" s="116">
        <v>5.6</v>
      </c>
      <c r="Q141" s="116">
        <f>P141*N141</f>
        <v>245.27999999999997</v>
      </c>
      <c r="R141" s="115">
        <v>0</v>
      </c>
      <c r="S141" s="116">
        <f t="shared" si="162"/>
        <v>15.583333333333334</v>
      </c>
      <c r="T141" s="116">
        <v>18.7</v>
      </c>
      <c r="U141" s="116">
        <f>T141*R141</f>
        <v>0</v>
      </c>
      <c r="V141" s="116">
        <v>10</v>
      </c>
      <c r="W141" s="116">
        <f t="shared" si="155"/>
        <v>6.416666666666667</v>
      </c>
      <c r="X141" s="116">
        <v>7.7</v>
      </c>
      <c r="Y141" s="116">
        <f>X141*V141</f>
        <v>77</v>
      </c>
      <c r="Z141" s="115">
        <v>30.1</v>
      </c>
      <c r="AA141" s="116">
        <f t="shared" si="156"/>
        <v>6</v>
      </c>
      <c r="AB141" s="116">
        <v>7.2</v>
      </c>
      <c r="AC141" s="116">
        <f>AB141*Z141</f>
        <v>216.72000000000003</v>
      </c>
      <c r="AD141" s="116">
        <v>0</v>
      </c>
      <c r="AE141" s="116">
        <f t="shared" si="157"/>
        <v>4.666666666666667</v>
      </c>
      <c r="AF141" s="116">
        <v>5.6</v>
      </c>
      <c r="AG141" s="116">
        <f>AF141*AD141</f>
        <v>0</v>
      </c>
      <c r="AH141" s="117">
        <v>197</v>
      </c>
      <c r="AI141" s="116">
        <f t="shared" si="158"/>
        <v>8.3333333333333339</v>
      </c>
      <c r="AJ141" s="116">
        <v>10</v>
      </c>
      <c r="AK141" s="116">
        <f>AJ141*AH141</f>
        <v>1970</v>
      </c>
      <c r="AL141" s="117">
        <v>2.5</v>
      </c>
      <c r="AM141" s="116">
        <f t="shared" si="159"/>
        <v>12.750000000000002</v>
      </c>
      <c r="AN141" s="116">
        <v>15.3</v>
      </c>
      <c r="AO141" s="116">
        <f>AN141*AL141</f>
        <v>38.25</v>
      </c>
      <c r="AP141" s="116">
        <f t="shared" si="160"/>
        <v>4716.3750000000009</v>
      </c>
      <c r="AQ141" s="116">
        <f t="shared" si="132"/>
        <v>5659.6500000000005</v>
      </c>
      <c r="AR141" s="117">
        <v>100</v>
      </c>
      <c r="AS141" s="116" t="s">
        <v>210</v>
      </c>
      <c r="AT141" s="118">
        <v>0</v>
      </c>
      <c r="AU141" s="118">
        <f t="shared" si="161"/>
        <v>6.1000000000000005</v>
      </c>
      <c r="AV141" s="144">
        <v>7.32</v>
      </c>
      <c r="AW141" s="118">
        <f>AU141*AR141</f>
        <v>610</v>
      </c>
      <c r="AX141" s="118">
        <f>AV141*AR141</f>
        <v>732</v>
      </c>
      <c r="AY141" s="119">
        <f t="shared" si="135"/>
        <v>5326.3750000000009</v>
      </c>
      <c r="AZ141" s="120">
        <f t="shared" si="135"/>
        <v>6391.6500000000005</v>
      </c>
      <c r="BA141" s="9"/>
      <c r="BB141" s="9"/>
      <c r="BC141" s="9"/>
      <c r="BD141" s="9"/>
      <c r="BE141" s="37"/>
      <c r="BF141" s="37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</row>
    <row r="142" spans="1:93" s="4" customFormat="1" ht="320.25" outlineLevel="1" x14ac:dyDescent="0.25">
      <c r="A142" s="111">
        <f>A141+1</f>
        <v>103</v>
      </c>
      <c r="B142" s="112" t="s">
        <v>177</v>
      </c>
      <c r="C142" s="113" t="s">
        <v>143</v>
      </c>
      <c r="D142" s="114" t="s">
        <v>19</v>
      </c>
      <c r="E142" s="115">
        <f t="shared" si="151"/>
        <v>658.59999999999991</v>
      </c>
      <c r="F142" s="116">
        <v>0</v>
      </c>
      <c r="G142" s="116">
        <f t="shared" si="152"/>
        <v>16.666666666666668</v>
      </c>
      <c r="H142" s="116">
        <v>20</v>
      </c>
      <c r="I142" s="116">
        <f>H142*F142</f>
        <v>0</v>
      </c>
      <c r="J142" s="115">
        <v>384.7</v>
      </c>
      <c r="K142" s="116">
        <f t="shared" si="153"/>
        <v>12.916666666666668</v>
      </c>
      <c r="L142" s="116">
        <v>15.5</v>
      </c>
      <c r="M142" s="116">
        <f>L142*J142</f>
        <v>5962.8499999999995</v>
      </c>
      <c r="N142" s="117">
        <v>89.2</v>
      </c>
      <c r="O142" s="116">
        <f t="shared" si="154"/>
        <v>4.666666666666667</v>
      </c>
      <c r="P142" s="116">
        <v>5.6</v>
      </c>
      <c r="Q142" s="116">
        <f>P142*N142</f>
        <v>499.52</v>
      </c>
      <c r="R142" s="115">
        <v>0</v>
      </c>
      <c r="S142" s="116">
        <f t="shared" si="162"/>
        <v>15.583333333333334</v>
      </c>
      <c r="T142" s="116">
        <v>18.7</v>
      </c>
      <c r="U142" s="116">
        <f>T142*R142</f>
        <v>0</v>
      </c>
      <c r="V142" s="116">
        <v>0</v>
      </c>
      <c r="W142" s="116">
        <f t="shared" si="155"/>
        <v>6.416666666666667</v>
      </c>
      <c r="X142" s="116">
        <v>7.7</v>
      </c>
      <c r="Y142" s="116">
        <f>X142*V142</f>
        <v>0</v>
      </c>
      <c r="Z142" s="115">
        <v>29.9</v>
      </c>
      <c r="AA142" s="116">
        <f t="shared" si="156"/>
        <v>6</v>
      </c>
      <c r="AB142" s="116">
        <v>7.2</v>
      </c>
      <c r="AC142" s="116">
        <f>AB142*Z142</f>
        <v>215.28</v>
      </c>
      <c r="AD142" s="116">
        <v>0</v>
      </c>
      <c r="AE142" s="116">
        <f t="shared" si="157"/>
        <v>4.666666666666667</v>
      </c>
      <c r="AF142" s="116">
        <v>5.6</v>
      </c>
      <c r="AG142" s="116">
        <f>AF142*AD142</f>
        <v>0</v>
      </c>
      <c r="AH142" s="117">
        <v>139.4</v>
      </c>
      <c r="AI142" s="116">
        <f t="shared" si="158"/>
        <v>8.3333333333333339</v>
      </c>
      <c r="AJ142" s="116">
        <v>10</v>
      </c>
      <c r="AK142" s="116">
        <f>AJ142*AH142</f>
        <v>1394</v>
      </c>
      <c r="AL142" s="117">
        <v>15.4</v>
      </c>
      <c r="AM142" s="116">
        <f t="shared" si="159"/>
        <v>12.750000000000002</v>
      </c>
      <c r="AN142" s="116">
        <v>15.3</v>
      </c>
      <c r="AO142" s="116">
        <f>AN142*AL142</f>
        <v>235.62</v>
      </c>
      <c r="AP142" s="116">
        <f t="shared" si="160"/>
        <v>6922.7249999999995</v>
      </c>
      <c r="AQ142" s="116">
        <f t="shared" si="132"/>
        <v>8307.2699999999986</v>
      </c>
      <c r="AR142" s="117">
        <v>450</v>
      </c>
      <c r="AS142" s="116" t="s">
        <v>210</v>
      </c>
      <c r="AT142" s="118">
        <v>0</v>
      </c>
      <c r="AU142" s="118">
        <f t="shared" si="161"/>
        <v>6.1000000000000005</v>
      </c>
      <c r="AV142" s="144">
        <v>7.32</v>
      </c>
      <c r="AW142" s="118">
        <f>AU142*AR142</f>
        <v>2745.0000000000005</v>
      </c>
      <c r="AX142" s="118">
        <f>AV142*AR142</f>
        <v>3294</v>
      </c>
      <c r="AY142" s="119">
        <f t="shared" si="135"/>
        <v>9667.7250000000004</v>
      </c>
      <c r="AZ142" s="120">
        <f t="shared" si="135"/>
        <v>11601.269999999999</v>
      </c>
      <c r="BA142" s="9"/>
      <c r="BB142" s="9"/>
      <c r="BC142" s="9"/>
      <c r="BD142" s="9"/>
      <c r="BE142" s="37"/>
      <c r="BF142" s="37"/>
      <c r="BG142" s="35"/>
      <c r="BH142" s="35"/>
      <c r="BI142" s="35"/>
      <c r="BJ142" s="35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  <c r="CG142" s="35"/>
      <c r="CH142" s="35"/>
      <c r="CI142" s="35"/>
      <c r="CJ142" s="35"/>
      <c r="CK142" s="35"/>
      <c r="CL142" s="35"/>
      <c r="CM142" s="35"/>
      <c r="CN142" s="35"/>
      <c r="CO142" s="35"/>
    </row>
    <row r="143" spans="1:93" s="4" customFormat="1" ht="366" outlineLevel="1" x14ac:dyDescent="0.25">
      <c r="A143" s="111">
        <f>A142+1</f>
        <v>104</v>
      </c>
      <c r="B143" s="112" t="s">
        <v>177</v>
      </c>
      <c r="C143" s="113" t="s">
        <v>144</v>
      </c>
      <c r="D143" s="114" t="s">
        <v>19</v>
      </c>
      <c r="E143" s="115">
        <f t="shared" si="151"/>
        <v>921.6</v>
      </c>
      <c r="F143" s="116">
        <v>0</v>
      </c>
      <c r="G143" s="116">
        <f t="shared" si="152"/>
        <v>16.666666666666668</v>
      </c>
      <c r="H143" s="116">
        <v>20</v>
      </c>
      <c r="I143" s="116">
        <f>H143*F143</f>
        <v>0</v>
      </c>
      <c r="J143" s="115">
        <v>91.1</v>
      </c>
      <c r="K143" s="116">
        <f t="shared" si="153"/>
        <v>12.916666666666668</v>
      </c>
      <c r="L143" s="116">
        <v>15.5</v>
      </c>
      <c r="M143" s="116">
        <f>L143*J143</f>
        <v>1412.05</v>
      </c>
      <c r="N143" s="117">
        <v>42</v>
      </c>
      <c r="O143" s="116">
        <f t="shared" si="154"/>
        <v>4.666666666666667</v>
      </c>
      <c r="P143" s="116">
        <v>5.6</v>
      </c>
      <c r="Q143" s="116">
        <f>P143*N143</f>
        <v>235.2</v>
      </c>
      <c r="R143" s="115">
        <v>0</v>
      </c>
      <c r="S143" s="116">
        <f t="shared" si="162"/>
        <v>15.583333333333334</v>
      </c>
      <c r="T143" s="116">
        <v>18.7</v>
      </c>
      <c r="U143" s="116">
        <f>T143*R143</f>
        <v>0</v>
      </c>
      <c r="V143" s="116">
        <v>59.6</v>
      </c>
      <c r="W143" s="116">
        <f t="shared" si="155"/>
        <v>6.416666666666667</v>
      </c>
      <c r="X143" s="116">
        <v>7.7</v>
      </c>
      <c r="Y143" s="116">
        <f>X143*V143</f>
        <v>458.92</v>
      </c>
      <c r="Z143" s="115">
        <v>526.1</v>
      </c>
      <c r="AA143" s="116">
        <f t="shared" si="156"/>
        <v>6</v>
      </c>
      <c r="AB143" s="116">
        <v>7.2</v>
      </c>
      <c r="AC143" s="116">
        <f>AB143*Z143</f>
        <v>3787.92</v>
      </c>
      <c r="AD143" s="116">
        <v>0</v>
      </c>
      <c r="AE143" s="116">
        <f t="shared" si="157"/>
        <v>4.666666666666667</v>
      </c>
      <c r="AF143" s="116">
        <v>5.6</v>
      </c>
      <c r="AG143" s="116">
        <f>AF143*AD143</f>
        <v>0</v>
      </c>
      <c r="AH143" s="117">
        <v>183.7</v>
      </c>
      <c r="AI143" s="116">
        <f t="shared" si="158"/>
        <v>8.3333333333333339</v>
      </c>
      <c r="AJ143" s="116">
        <v>10</v>
      </c>
      <c r="AK143" s="116">
        <f>AJ143*AH143</f>
        <v>1837</v>
      </c>
      <c r="AL143" s="117">
        <v>19.100000000000001</v>
      </c>
      <c r="AM143" s="116">
        <f t="shared" si="159"/>
        <v>12.750000000000002</v>
      </c>
      <c r="AN143" s="116">
        <v>15.3</v>
      </c>
      <c r="AO143" s="116">
        <f>AN143*AL143</f>
        <v>292.23</v>
      </c>
      <c r="AP143" s="116">
        <f t="shared" si="160"/>
        <v>6686.1</v>
      </c>
      <c r="AQ143" s="116">
        <f t="shared" si="132"/>
        <v>8023.32</v>
      </c>
      <c r="AR143" s="117">
        <v>200</v>
      </c>
      <c r="AS143" s="116" t="s">
        <v>210</v>
      </c>
      <c r="AT143" s="118">
        <v>0</v>
      </c>
      <c r="AU143" s="118">
        <f t="shared" si="161"/>
        <v>6.1000000000000005</v>
      </c>
      <c r="AV143" s="144">
        <v>7.32</v>
      </c>
      <c r="AW143" s="118">
        <f>AU143*AR143</f>
        <v>1220</v>
      </c>
      <c r="AX143" s="118">
        <f>AV143*AR143</f>
        <v>1464</v>
      </c>
      <c r="AY143" s="119">
        <f t="shared" si="135"/>
        <v>7906.1</v>
      </c>
      <c r="AZ143" s="120">
        <f t="shared" si="135"/>
        <v>9487.32</v>
      </c>
      <c r="BA143" s="9"/>
      <c r="BB143" s="9"/>
      <c r="BC143" s="9"/>
      <c r="BD143" s="9"/>
      <c r="BE143" s="37"/>
      <c r="BF143" s="37"/>
      <c r="BG143" s="35"/>
      <c r="BH143" s="35"/>
      <c r="BI143" s="35"/>
      <c r="BJ143" s="35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  <c r="CG143" s="35"/>
      <c r="CH143" s="35"/>
      <c r="CI143" s="35"/>
      <c r="CJ143" s="35"/>
      <c r="CK143" s="35"/>
      <c r="CL143" s="35"/>
      <c r="CM143" s="35"/>
      <c r="CN143" s="35"/>
      <c r="CO143" s="35"/>
    </row>
    <row r="144" spans="1:93" s="4" customFormat="1" ht="45.75" outlineLevel="1" x14ac:dyDescent="0.25">
      <c r="A144" s="160" t="s">
        <v>162</v>
      </c>
      <c r="B144" s="161"/>
      <c r="C144" s="161"/>
      <c r="D144" s="124"/>
      <c r="E144" s="115"/>
      <c r="F144" s="124"/>
      <c r="G144" s="116"/>
      <c r="H144" s="124"/>
      <c r="I144" s="124"/>
      <c r="J144" s="124"/>
      <c r="K144" s="116"/>
      <c r="L144" s="116"/>
      <c r="M144" s="124"/>
      <c r="N144" s="124"/>
      <c r="O144" s="116"/>
      <c r="P144" s="116"/>
      <c r="Q144" s="124"/>
      <c r="R144" s="124"/>
      <c r="S144" s="116"/>
      <c r="T144" s="116"/>
      <c r="U144" s="124"/>
      <c r="V144" s="124"/>
      <c r="W144" s="116"/>
      <c r="X144" s="116"/>
      <c r="Y144" s="124"/>
      <c r="Z144" s="124"/>
      <c r="AA144" s="116"/>
      <c r="AB144" s="116"/>
      <c r="AC144" s="124"/>
      <c r="AD144" s="124"/>
      <c r="AE144" s="116"/>
      <c r="AF144" s="116"/>
      <c r="AG144" s="124"/>
      <c r="AH144" s="124"/>
      <c r="AI144" s="116"/>
      <c r="AJ144" s="116"/>
      <c r="AK144" s="124"/>
      <c r="AL144" s="124"/>
      <c r="AM144" s="116"/>
      <c r="AN144" s="116"/>
      <c r="AO144" s="124"/>
      <c r="AP144" s="116"/>
      <c r="AQ144" s="125"/>
      <c r="AR144" s="124"/>
      <c r="AS144" s="116"/>
      <c r="AT144" s="126"/>
      <c r="AU144" s="118"/>
      <c r="AV144" s="144"/>
      <c r="AW144" s="126"/>
      <c r="AX144" s="126"/>
      <c r="AY144" s="133"/>
      <c r="AZ144" s="130"/>
      <c r="BA144" s="9"/>
      <c r="BB144" s="9"/>
      <c r="BC144" s="9"/>
      <c r="BD144" s="9"/>
      <c r="BE144" s="37"/>
      <c r="BF144" s="37"/>
      <c r="BG144" s="35"/>
      <c r="BH144" s="35"/>
      <c r="BI144" s="35"/>
      <c r="BJ144" s="35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/>
      <c r="BY144" s="35"/>
      <c r="BZ144" s="35"/>
      <c r="CA144" s="35"/>
      <c r="CB144" s="35"/>
      <c r="CC144" s="35"/>
      <c r="CD144" s="35"/>
      <c r="CE144" s="35"/>
      <c r="CF144" s="35"/>
      <c r="CG144" s="35"/>
      <c r="CH144" s="35"/>
      <c r="CI144" s="35"/>
      <c r="CJ144" s="35"/>
      <c r="CK144" s="35"/>
      <c r="CL144" s="35"/>
      <c r="CM144" s="35"/>
      <c r="CN144" s="35"/>
      <c r="CO144" s="35"/>
    </row>
    <row r="145" spans="1:93" s="35" customFormat="1" ht="228.75" outlineLevel="1" x14ac:dyDescent="0.25">
      <c r="A145" s="111">
        <f>A143+1</f>
        <v>105</v>
      </c>
      <c r="B145" s="112" t="s">
        <v>178</v>
      </c>
      <c r="C145" s="113" t="s">
        <v>129</v>
      </c>
      <c r="D145" s="114" t="s">
        <v>19</v>
      </c>
      <c r="E145" s="115">
        <f t="shared" si="151"/>
        <v>3318.5</v>
      </c>
      <c r="F145" s="116">
        <v>0</v>
      </c>
      <c r="G145" s="116">
        <f t="shared" si="152"/>
        <v>16.666666666666668</v>
      </c>
      <c r="H145" s="116">
        <v>20</v>
      </c>
      <c r="I145" s="116">
        <f t="shared" si="123"/>
        <v>0</v>
      </c>
      <c r="J145" s="115">
        <v>546</v>
      </c>
      <c r="K145" s="116">
        <f t="shared" si="153"/>
        <v>12.916666666666668</v>
      </c>
      <c r="L145" s="116">
        <v>15.5</v>
      </c>
      <c r="M145" s="116">
        <f t="shared" si="124"/>
        <v>8463</v>
      </c>
      <c r="N145" s="117">
        <v>521</v>
      </c>
      <c r="O145" s="116">
        <f t="shared" si="154"/>
        <v>4.666666666666667</v>
      </c>
      <c r="P145" s="116">
        <v>5.6</v>
      </c>
      <c r="Q145" s="116">
        <f t="shared" si="125"/>
        <v>2917.6</v>
      </c>
      <c r="R145" s="115">
        <v>0</v>
      </c>
      <c r="S145" s="116">
        <f t="shared" si="162"/>
        <v>15.583333333333334</v>
      </c>
      <c r="T145" s="116">
        <v>18.7</v>
      </c>
      <c r="U145" s="116">
        <f t="shared" si="126"/>
        <v>0</v>
      </c>
      <c r="V145" s="116">
        <v>228</v>
      </c>
      <c r="W145" s="116">
        <f t="shared" si="155"/>
        <v>6.416666666666667</v>
      </c>
      <c r="X145" s="116">
        <v>7.7</v>
      </c>
      <c r="Y145" s="116">
        <f t="shared" si="127"/>
        <v>1755.6000000000001</v>
      </c>
      <c r="Z145" s="115">
        <v>1226</v>
      </c>
      <c r="AA145" s="116">
        <f t="shared" si="156"/>
        <v>6</v>
      </c>
      <c r="AB145" s="116">
        <v>7.2</v>
      </c>
      <c r="AC145" s="116">
        <f t="shared" si="128"/>
        <v>8827.2000000000007</v>
      </c>
      <c r="AD145" s="116">
        <v>0</v>
      </c>
      <c r="AE145" s="116">
        <f t="shared" si="157"/>
        <v>4.666666666666667</v>
      </c>
      <c r="AF145" s="116">
        <v>5.6</v>
      </c>
      <c r="AG145" s="116">
        <f t="shared" si="129"/>
        <v>0</v>
      </c>
      <c r="AH145" s="117">
        <v>747.2</v>
      </c>
      <c r="AI145" s="116">
        <f t="shared" si="158"/>
        <v>8.3333333333333339</v>
      </c>
      <c r="AJ145" s="116">
        <v>10</v>
      </c>
      <c r="AK145" s="116">
        <f t="shared" si="130"/>
        <v>7472</v>
      </c>
      <c r="AL145" s="117">
        <v>50.3</v>
      </c>
      <c r="AM145" s="116">
        <f t="shared" si="159"/>
        <v>12.750000000000002</v>
      </c>
      <c r="AN145" s="116">
        <v>15.3</v>
      </c>
      <c r="AO145" s="116">
        <f t="shared" si="131"/>
        <v>769.59</v>
      </c>
      <c r="AP145" s="116">
        <f t="shared" si="160"/>
        <v>25170.825000000001</v>
      </c>
      <c r="AQ145" s="116">
        <f t="shared" si="132"/>
        <v>30204.99</v>
      </c>
      <c r="AR145" s="117">
        <v>460</v>
      </c>
      <c r="AS145" s="116" t="s">
        <v>210</v>
      </c>
      <c r="AT145" s="118">
        <v>0</v>
      </c>
      <c r="AU145" s="118">
        <f t="shared" si="161"/>
        <v>6.1000000000000005</v>
      </c>
      <c r="AV145" s="144">
        <v>7.32</v>
      </c>
      <c r="AW145" s="118">
        <f t="shared" si="133"/>
        <v>2806.0000000000005</v>
      </c>
      <c r="AX145" s="118">
        <f t="shared" si="134"/>
        <v>3367.2000000000003</v>
      </c>
      <c r="AY145" s="119">
        <f t="shared" si="135"/>
        <v>27976.825000000001</v>
      </c>
      <c r="AZ145" s="120">
        <f t="shared" si="135"/>
        <v>33572.19</v>
      </c>
      <c r="BA145" s="37"/>
      <c r="BB145" s="37"/>
      <c r="BC145" s="37"/>
      <c r="BD145" s="37"/>
      <c r="BE145" s="37"/>
      <c r="BF145" s="37"/>
    </row>
    <row r="146" spans="1:93" s="4" customFormat="1" ht="409.5" outlineLevel="1" x14ac:dyDescent="0.25">
      <c r="A146" s="111">
        <f>A145+1</f>
        <v>106</v>
      </c>
      <c r="B146" s="112" t="s">
        <v>178</v>
      </c>
      <c r="C146" s="113" t="s">
        <v>130</v>
      </c>
      <c r="D146" s="114" t="s">
        <v>19</v>
      </c>
      <c r="E146" s="115">
        <f t="shared" si="151"/>
        <v>668.50000000000011</v>
      </c>
      <c r="F146" s="116">
        <v>0</v>
      </c>
      <c r="G146" s="116">
        <f t="shared" si="152"/>
        <v>16.666666666666668</v>
      </c>
      <c r="H146" s="116">
        <v>20</v>
      </c>
      <c r="I146" s="116">
        <f t="shared" si="123"/>
        <v>0</v>
      </c>
      <c r="J146" s="115">
        <v>68.099999999999994</v>
      </c>
      <c r="K146" s="116">
        <f t="shared" si="153"/>
        <v>12.916666666666668</v>
      </c>
      <c r="L146" s="116">
        <v>15.5</v>
      </c>
      <c r="M146" s="116">
        <f t="shared" si="124"/>
        <v>1055.55</v>
      </c>
      <c r="N146" s="117">
        <v>72.400000000000006</v>
      </c>
      <c r="O146" s="116">
        <f t="shared" si="154"/>
        <v>4.666666666666667</v>
      </c>
      <c r="P146" s="116">
        <v>5.6</v>
      </c>
      <c r="Q146" s="116">
        <f t="shared" si="125"/>
        <v>405.44</v>
      </c>
      <c r="R146" s="115">
        <v>0</v>
      </c>
      <c r="S146" s="116">
        <f t="shared" si="162"/>
        <v>15.583333333333334</v>
      </c>
      <c r="T146" s="116">
        <v>18.7</v>
      </c>
      <c r="U146" s="116">
        <f t="shared" si="126"/>
        <v>0</v>
      </c>
      <c r="V146" s="116">
        <v>60.6</v>
      </c>
      <c r="W146" s="116">
        <f t="shared" si="155"/>
        <v>6.416666666666667</v>
      </c>
      <c r="X146" s="116">
        <v>7.7</v>
      </c>
      <c r="Y146" s="116">
        <f t="shared" si="127"/>
        <v>466.62</v>
      </c>
      <c r="Z146" s="115">
        <v>76.5</v>
      </c>
      <c r="AA146" s="116">
        <f t="shared" si="156"/>
        <v>6</v>
      </c>
      <c r="AB146" s="116">
        <v>7.2</v>
      </c>
      <c r="AC146" s="116">
        <f t="shared" si="128"/>
        <v>550.80000000000007</v>
      </c>
      <c r="AD146" s="116">
        <v>0</v>
      </c>
      <c r="AE146" s="116">
        <f t="shared" si="157"/>
        <v>4.666666666666667</v>
      </c>
      <c r="AF146" s="116">
        <v>5.6</v>
      </c>
      <c r="AG146" s="116">
        <f t="shared" si="129"/>
        <v>0</v>
      </c>
      <c r="AH146" s="117">
        <v>382.3</v>
      </c>
      <c r="AI146" s="116">
        <f t="shared" si="158"/>
        <v>8.3333333333333339</v>
      </c>
      <c r="AJ146" s="116">
        <v>10</v>
      </c>
      <c r="AK146" s="116">
        <f t="shared" si="130"/>
        <v>3823</v>
      </c>
      <c r="AL146" s="117">
        <v>8.6</v>
      </c>
      <c r="AM146" s="116">
        <f t="shared" si="159"/>
        <v>12.750000000000002</v>
      </c>
      <c r="AN146" s="116">
        <v>15.3</v>
      </c>
      <c r="AO146" s="116">
        <f t="shared" si="131"/>
        <v>131.58000000000001</v>
      </c>
      <c r="AP146" s="116">
        <f t="shared" si="160"/>
        <v>5360.8249999999998</v>
      </c>
      <c r="AQ146" s="116">
        <f t="shared" si="132"/>
        <v>6432.99</v>
      </c>
      <c r="AR146" s="117">
        <v>1120</v>
      </c>
      <c r="AS146" s="116" t="s">
        <v>210</v>
      </c>
      <c r="AT146" s="118">
        <v>0</v>
      </c>
      <c r="AU146" s="118">
        <f t="shared" si="161"/>
        <v>6.1000000000000005</v>
      </c>
      <c r="AV146" s="144">
        <v>7.32</v>
      </c>
      <c r="AW146" s="118">
        <f t="shared" si="133"/>
        <v>6832.0000000000009</v>
      </c>
      <c r="AX146" s="118">
        <f t="shared" si="134"/>
        <v>8198.4</v>
      </c>
      <c r="AY146" s="119">
        <f t="shared" si="135"/>
        <v>12192.825000000001</v>
      </c>
      <c r="AZ146" s="120">
        <f t="shared" si="135"/>
        <v>14631.39</v>
      </c>
      <c r="BA146" s="9"/>
      <c r="BB146" s="9"/>
      <c r="BC146" s="9"/>
      <c r="BD146" s="9"/>
      <c r="BE146" s="37"/>
      <c r="BF146" s="37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</row>
    <row r="147" spans="1:93" s="4" customFormat="1" ht="366" outlineLevel="1" x14ac:dyDescent="0.25">
      <c r="A147" s="111">
        <f t="shared" ref="A147:A148" si="184">A146+1</f>
        <v>107</v>
      </c>
      <c r="B147" s="112" t="s">
        <v>177</v>
      </c>
      <c r="C147" s="113" t="s">
        <v>131</v>
      </c>
      <c r="D147" s="114" t="s">
        <v>19</v>
      </c>
      <c r="E147" s="115">
        <f t="shared" si="151"/>
        <v>954.09999999999991</v>
      </c>
      <c r="F147" s="116">
        <v>0</v>
      </c>
      <c r="G147" s="116">
        <f t="shared" si="152"/>
        <v>16.666666666666668</v>
      </c>
      <c r="H147" s="116">
        <v>20</v>
      </c>
      <c r="I147" s="116">
        <f t="shared" si="123"/>
        <v>0</v>
      </c>
      <c r="J147" s="115">
        <v>295.2</v>
      </c>
      <c r="K147" s="116">
        <f t="shared" si="153"/>
        <v>12.916666666666668</v>
      </c>
      <c r="L147" s="116">
        <v>15.5</v>
      </c>
      <c r="M147" s="116">
        <f t="shared" si="124"/>
        <v>4575.5999999999995</v>
      </c>
      <c r="N147" s="117">
        <v>192.1</v>
      </c>
      <c r="O147" s="116">
        <f t="shared" si="154"/>
        <v>4.666666666666667</v>
      </c>
      <c r="P147" s="116">
        <v>5.6</v>
      </c>
      <c r="Q147" s="116">
        <f t="shared" si="125"/>
        <v>1075.76</v>
      </c>
      <c r="R147" s="115">
        <v>0</v>
      </c>
      <c r="S147" s="116">
        <f t="shared" si="162"/>
        <v>15.583333333333334</v>
      </c>
      <c r="T147" s="116">
        <v>18.7</v>
      </c>
      <c r="U147" s="116">
        <f t="shared" si="126"/>
        <v>0</v>
      </c>
      <c r="V147" s="116">
        <v>0</v>
      </c>
      <c r="W147" s="116">
        <f t="shared" si="155"/>
        <v>6.416666666666667</v>
      </c>
      <c r="X147" s="116">
        <v>7.7</v>
      </c>
      <c r="Y147" s="116">
        <f t="shared" si="127"/>
        <v>0</v>
      </c>
      <c r="Z147" s="115">
        <v>30.8</v>
      </c>
      <c r="AA147" s="116">
        <f t="shared" si="156"/>
        <v>6</v>
      </c>
      <c r="AB147" s="116">
        <v>7.2</v>
      </c>
      <c r="AC147" s="116">
        <f t="shared" si="128"/>
        <v>221.76000000000002</v>
      </c>
      <c r="AD147" s="116">
        <v>0</v>
      </c>
      <c r="AE147" s="116">
        <f t="shared" si="157"/>
        <v>4.666666666666667</v>
      </c>
      <c r="AF147" s="116">
        <v>5.6</v>
      </c>
      <c r="AG147" s="116">
        <f t="shared" si="129"/>
        <v>0</v>
      </c>
      <c r="AH147" s="117">
        <v>420</v>
      </c>
      <c r="AI147" s="116">
        <f t="shared" si="158"/>
        <v>8.3333333333333339</v>
      </c>
      <c r="AJ147" s="116">
        <v>10</v>
      </c>
      <c r="AK147" s="116">
        <f t="shared" si="130"/>
        <v>4200</v>
      </c>
      <c r="AL147" s="117">
        <v>16</v>
      </c>
      <c r="AM147" s="116">
        <f t="shared" si="159"/>
        <v>12.750000000000002</v>
      </c>
      <c r="AN147" s="116">
        <v>15.3</v>
      </c>
      <c r="AO147" s="116">
        <f t="shared" si="131"/>
        <v>244.8</v>
      </c>
      <c r="AP147" s="116">
        <f t="shared" si="160"/>
        <v>8598.2666666666664</v>
      </c>
      <c r="AQ147" s="116">
        <f t="shared" si="132"/>
        <v>10317.919999999998</v>
      </c>
      <c r="AR147" s="117">
        <v>100</v>
      </c>
      <c r="AS147" s="116" t="s">
        <v>210</v>
      </c>
      <c r="AT147" s="118">
        <v>0</v>
      </c>
      <c r="AU147" s="118">
        <f t="shared" si="161"/>
        <v>6.1000000000000005</v>
      </c>
      <c r="AV147" s="144">
        <v>7.32</v>
      </c>
      <c r="AW147" s="118">
        <f t="shared" si="133"/>
        <v>610</v>
      </c>
      <c r="AX147" s="118">
        <f t="shared" si="134"/>
        <v>732</v>
      </c>
      <c r="AY147" s="119">
        <f t="shared" ref="AY147:AZ172" si="185">AP147+AW147</f>
        <v>9208.2666666666664</v>
      </c>
      <c r="AZ147" s="120">
        <f t="shared" si="185"/>
        <v>11049.919999999998</v>
      </c>
      <c r="BA147" s="101"/>
      <c r="BB147" s="9"/>
      <c r="BC147" s="9"/>
      <c r="BD147" s="9"/>
      <c r="BE147" s="37"/>
      <c r="BF147" s="37"/>
      <c r="BG147" s="35"/>
      <c r="BH147" s="35"/>
      <c r="BI147" s="35"/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  <c r="CG147" s="35"/>
      <c r="CH147" s="35"/>
      <c r="CI147" s="35"/>
      <c r="CJ147" s="35"/>
      <c r="CK147" s="35"/>
      <c r="CL147" s="35"/>
      <c r="CM147" s="35"/>
      <c r="CN147" s="35"/>
      <c r="CO147" s="35"/>
    </row>
    <row r="148" spans="1:93" s="4" customFormat="1" ht="366" outlineLevel="1" x14ac:dyDescent="0.25">
      <c r="A148" s="111">
        <f t="shared" si="184"/>
        <v>108</v>
      </c>
      <c r="B148" s="112" t="s">
        <v>177</v>
      </c>
      <c r="C148" s="113" t="s">
        <v>135</v>
      </c>
      <c r="D148" s="114" t="s">
        <v>19</v>
      </c>
      <c r="E148" s="115">
        <f t="shared" si="151"/>
        <v>643.70000000000005</v>
      </c>
      <c r="F148" s="116">
        <v>0</v>
      </c>
      <c r="G148" s="116">
        <f t="shared" si="152"/>
        <v>16.666666666666668</v>
      </c>
      <c r="H148" s="116">
        <v>20</v>
      </c>
      <c r="I148" s="116">
        <f>H148*F148</f>
        <v>0</v>
      </c>
      <c r="J148" s="115">
        <v>122.3</v>
      </c>
      <c r="K148" s="116">
        <f t="shared" si="153"/>
        <v>12.916666666666668</v>
      </c>
      <c r="L148" s="116">
        <v>15.5</v>
      </c>
      <c r="M148" s="116">
        <f>L148*J148</f>
        <v>1895.6499999999999</v>
      </c>
      <c r="N148" s="117">
        <v>120.2</v>
      </c>
      <c r="O148" s="116">
        <f t="shared" si="154"/>
        <v>4.666666666666667</v>
      </c>
      <c r="P148" s="116">
        <v>5.6</v>
      </c>
      <c r="Q148" s="116">
        <f>P148*N148</f>
        <v>673.12</v>
      </c>
      <c r="R148" s="115">
        <v>0</v>
      </c>
      <c r="S148" s="116">
        <f t="shared" si="162"/>
        <v>15.583333333333334</v>
      </c>
      <c r="T148" s="116">
        <v>18.7</v>
      </c>
      <c r="U148" s="116">
        <f>T148*R148</f>
        <v>0</v>
      </c>
      <c r="V148" s="116">
        <v>0</v>
      </c>
      <c r="W148" s="116">
        <f t="shared" si="155"/>
        <v>6.416666666666667</v>
      </c>
      <c r="X148" s="116">
        <v>7.7</v>
      </c>
      <c r="Y148" s="116">
        <f>X148*V148</f>
        <v>0</v>
      </c>
      <c r="Z148" s="115">
        <v>143.1</v>
      </c>
      <c r="AA148" s="116">
        <f t="shared" si="156"/>
        <v>6</v>
      </c>
      <c r="AB148" s="116">
        <v>7.2</v>
      </c>
      <c r="AC148" s="116">
        <f>AB148*Z148</f>
        <v>1030.32</v>
      </c>
      <c r="AD148" s="116">
        <v>0</v>
      </c>
      <c r="AE148" s="116">
        <f t="shared" si="157"/>
        <v>4.666666666666667</v>
      </c>
      <c r="AF148" s="116">
        <v>5.6</v>
      </c>
      <c r="AG148" s="116">
        <f>AF148*AD148</f>
        <v>0</v>
      </c>
      <c r="AH148" s="117">
        <v>238.3</v>
      </c>
      <c r="AI148" s="116">
        <f t="shared" si="158"/>
        <v>8.3333333333333339</v>
      </c>
      <c r="AJ148" s="116">
        <v>10</v>
      </c>
      <c r="AK148" s="116">
        <f>AJ148*AH148</f>
        <v>2383</v>
      </c>
      <c r="AL148" s="117">
        <f>8.9+3.1+7.8</f>
        <v>19.8</v>
      </c>
      <c r="AM148" s="116">
        <f t="shared" si="159"/>
        <v>12.750000000000002</v>
      </c>
      <c r="AN148" s="116">
        <v>15.3</v>
      </c>
      <c r="AO148" s="116">
        <f>AN148*AL148</f>
        <v>302.94</v>
      </c>
      <c r="AP148" s="116">
        <f t="shared" si="160"/>
        <v>5237.5249999999996</v>
      </c>
      <c r="AQ148" s="116">
        <f t="shared" ref="AQ148:AQ172" si="186">I148+M148+Q148+U148+Y148+AC148+AG148+AK148+AO148</f>
        <v>6285.03</v>
      </c>
      <c r="AR148" s="117">
        <v>150</v>
      </c>
      <c r="AS148" s="116" t="s">
        <v>210</v>
      </c>
      <c r="AT148" s="118">
        <v>0</v>
      </c>
      <c r="AU148" s="118">
        <f t="shared" si="161"/>
        <v>6.1000000000000005</v>
      </c>
      <c r="AV148" s="144">
        <v>7.32</v>
      </c>
      <c r="AW148" s="118">
        <f>AU148*AR148</f>
        <v>915.00000000000011</v>
      </c>
      <c r="AX148" s="118">
        <f>AV148*AR148</f>
        <v>1098</v>
      </c>
      <c r="AY148" s="119">
        <f t="shared" si="185"/>
        <v>6152.5249999999996</v>
      </c>
      <c r="AZ148" s="120">
        <f t="shared" si="185"/>
        <v>7383.03</v>
      </c>
      <c r="BA148" s="9"/>
      <c r="BB148" s="9"/>
      <c r="BC148" s="9"/>
      <c r="BD148" s="9"/>
      <c r="BE148" s="37"/>
      <c r="BF148" s="37"/>
      <c r="BG148" s="35"/>
      <c r="BH148" s="35"/>
      <c r="BI148" s="35"/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</row>
    <row r="149" spans="1:93" s="4" customFormat="1" ht="45.75" outlineLevel="1" x14ac:dyDescent="0.25">
      <c r="A149" s="160" t="s">
        <v>163</v>
      </c>
      <c r="B149" s="161"/>
      <c r="C149" s="161"/>
      <c r="D149" s="124"/>
      <c r="E149" s="115"/>
      <c r="F149" s="124"/>
      <c r="G149" s="116"/>
      <c r="H149" s="124"/>
      <c r="I149" s="124"/>
      <c r="J149" s="124"/>
      <c r="K149" s="116"/>
      <c r="L149" s="116"/>
      <c r="M149" s="124"/>
      <c r="N149" s="124"/>
      <c r="O149" s="116"/>
      <c r="P149" s="116"/>
      <c r="Q149" s="124"/>
      <c r="R149" s="124"/>
      <c r="S149" s="116"/>
      <c r="T149" s="116"/>
      <c r="U149" s="124"/>
      <c r="V149" s="124"/>
      <c r="W149" s="116"/>
      <c r="X149" s="116"/>
      <c r="Y149" s="124"/>
      <c r="Z149" s="124"/>
      <c r="AA149" s="116"/>
      <c r="AB149" s="116"/>
      <c r="AC149" s="124"/>
      <c r="AD149" s="124"/>
      <c r="AE149" s="116"/>
      <c r="AF149" s="116"/>
      <c r="AG149" s="124"/>
      <c r="AH149" s="124"/>
      <c r="AI149" s="116"/>
      <c r="AJ149" s="116"/>
      <c r="AK149" s="124"/>
      <c r="AL149" s="124"/>
      <c r="AM149" s="116"/>
      <c r="AN149" s="116"/>
      <c r="AO149" s="124"/>
      <c r="AP149" s="116"/>
      <c r="AQ149" s="129"/>
      <c r="AR149" s="124"/>
      <c r="AS149" s="116"/>
      <c r="AT149" s="126"/>
      <c r="AU149" s="118"/>
      <c r="AV149" s="144"/>
      <c r="AW149" s="126"/>
      <c r="AX149" s="126"/>
      <c r="AY149" s="127"/>
      <c r="AZ149" s="130"/>
      <c r="BA149" s="9"/>
      <c r="BB149" s="9"/>
      <c r="BC149" s="9"/>
      <c r="BD149" s="9"/>
      <c r="BE149" s="37"/>
      <c r="BF149" s="37"/>
      <c r="BG149" s="35"/>
      <c r="BH149" s="35"/>
      <c r="BI149" s="35"/>
      <c r="BJ149" s="35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/>
      <c r="BY149" s="35"/>
      <c r="BZ149" s="35"/>
      <c r="CA149" s="35"/>
      <c r="CB149" s="35"/>
      <c r="CC149" s="35"/>
      <c r="CD149" s="35"/>
      <c r="CE149" s="35"/>
      <c r="CF149" s="35"/>
      <c r="CG149" s="35"/>
      <c r="CH149" s="35"/>
      <c r="CI149" s="35"/>
      <c r="CJ149" s="35"/>
      <c r="CK149" s="35"/>
      <c r="CL149" s="35"/>
      <c r="CM149" s="35"/>
      <c r="CN149" s="35"/>
      <c r="CO149" s="35"/>
    </row>
    <row r="150" spans="1:93" s="4" customFormat="1" ht="274.5" outlineLevel="1" x14ac:dyDescent="0.25">
      <c r="A150" s="111">
        <v>109</v>
      </c>
      <c r="B150" s="112" t="s">
        <v>177</v>
      </c>
      <c r="C150" s="113" t="s">
        <v>133</v>
      </c>
      <c r="D150" s="114" t="s">
        <v>19</v>
      </c>
      <c r="E150" s="115">
        <f t="shared" si="151"/>
        <v>523.4</v>
      </c>
      <c r="F150" s="116">
        <v>0</v>
      </c>
      <c r="G150" s="116">
        <f t="shared" si="152"/>
        <v>16.666666666666668</v>
      </c>
      <c r="H150" s="116">
        <v>20</v>
      </c>
      <c r="I150" s="116">
        <f t="shared" si="123"/>
        <v>0</v>
      </c>
      <c r="J150" s="115">
        <v>109.2</v>
      </c>
      <c r="K150" s="116">
        <f t="shared" si="153"/>
        <v>12.916666666666668</v>
      </c>
      <c r="L150" s="116">
        <v>15.5</v>
      </c>
      <c r="M150" s="116">
        <f t="shared" si="124"/>
        <v>1692.6000000000001</v>
      </c>
      <c r="N150" s="117">
        <v>143.30000000000001</v>
      </c>
      <c r="O150" s="116">
        <f t="shared" si="154"/>
        <v>4.666666666666667</v>
      </c>
      <c r="P150" s="116">
        <v>5.6</v>
      </c>
      <c r="Q150" s="116">
        <f>P150*N150</f>
        <v>802.48</v>
      </c>
      <c r="R150" s="115">
        <v>0</v>
      </c>
      <c r="S150" s="116">
        <f t="shared" si="162"/>
        <v>15.583333333333334</v>
      </c>
      <c r="T150" s="116">
        <v>18.7</v>
      </c>
      <c r="U150" s="116">
        <f t="shared" si="126"/>
        <v>0</v>
      </c>
      <c r="V150" s="116">
        <v>0</v>
      </c>
      <c r="W150" s="116">
        <f t="shared" si="155"/>
        <v>6.416666666666667</v>
      </c>
      <c r="X150" s="116">
        <v>7.7</v>
      </c>
      <c r="Y150" s="116">
        <f t="shared" si="127"/>
        <v>0</v>
      </c>
      <c r="Z150" s="115">
        <f>71.3+13.4+13.4</f>
        <v>98.100000000000009</v>
      </c>
      <c r="AA150" s="116">
        <f t="shared" si="156"/>
        <v>6</v>
      </c>
      <c r="AB150" s="116">
        <v>7.2</v>
      </c>
      <c r="AC150" s="116">
        <f t="shared" si="128"/>
        <v>706.32</v>
      </c>
      <c r="AD150" s="116">
        <v>0</v>
      </c>
      <c r="AE150" s="116">
        <f t="shared" si="157"/>
        <v>4.666666666666667</v>
      </c>
      <c r="AF150" s="116">
        <v>5.6</v>
      </c>
      <c r="AG150" s="116">
        <f t="shared" si="129"/>
        <v>0</v>
      </c>
      <c r="AH150" s="117">
        <v>165.7</v>
      </c>
      <c r="AI150" s="116">
        <f t="shared" si="158"/>
        <v>8.3333333333333339</v>
      </c>
      <c r="AJ150" s="116">
        <v>10</v>
      </c>
      <c r="AK150" s="116">
        <f t="shared" si="130"/>
        <v>1657</v>
      </c>
      <c r="AL150" s="117">
        <v>7.1</v>
      </c>
      <c r="AM150" s="116">
        <f t="shared" si="159"/>
        <v>12.750000000000002</v>
      </c>
      <c r="AN150" s="116">
        <v>15.3</v>
      </c>
      <c r="AO150" s="116">
        <f t="shared" si="131"/>
        <v>108.63</v>
      </c>
      <c r="AP150" s="116">
        <f t="shared" si="160"/>
        <v>4139.1916666666666</v>
      </c>
      <c r="AQ150" s="116">
        <f t="shared" si="186"/>
        <v>4967.03</v>
      </c>
      <c r="AR150" s="117">
        <v>600</v>
      </c>
      <c r="AS150" s="116" t="s">
        <v>210</v>
      </c>
      <c r="AT150" s="118">
        <v>0</v>
      </c>
      <c r="AU150" s="118">
        <f t="shared" si="161"/>
        <v>6.1000000000000005</v>
      </c>
      <c r="AV150" s="144">
        <v>7.32</v>
      </c>
      <c r="AW150" s="118">
        <f t="shared" si="133"/>
        <v>3660.0000000000005</v>
      </c>
      <c r="AX150" s="118">
        <f t="shared" si="134"/>
        <v>4392</v>
      </c>
      <c r="AY150" s="119">
        <f t="shared" si="185"/>
        <v>7799.1916666666675</v>
      </c>
      <c r="AZ150" s="120">
        <f t="shared" si="185"/>
        <v>9359.0299999999988</v>
      </c>
      <c r="BA150" s="150"/>
      <c r="BB150" s="151"/>
      <c r="BC150" s="151"/>
      <c r="BD150" s="151"/>
      <c r="BE150" s="37"/>
      <c r="BF150" s="37"/>
      <c r="BG150" s="35"/>
      <c r="BH150" s="35"/>
      <c r="BI150" s="35"/>
      <c r="BJ150" s="35"/>
      <c r="BK150" s="35"/>
      <c r="BL150" s="35"/>
      <c r="BM150" s="35"/>
      <c r="BN150" s="35"/>
      <c r="BO150" s="35"/>
      <c r="BP150" s="35"/>
      <c r="BQ150" s="35"/>
      <c r="BR150" s="35"/>
      <c r="BS150" s="35"/>
      <c r="BT150" s="35"/>
      <c r="BU150" s="35"/>
      <c r="BV150" s="35"/>
      <c r="BW150" s="35"/>
      <c r="BX150" s="35"/>
      <c r="BY150" s="35"/>
      <c r="BZ150" s="35"/>
      <c r="CA150" s="35"/>
      <c r="CB150" s="35"/>
      <c r="CC150" s="35"/>
      <c r="CD150" s="35"/>
      <c r="CE150" s="35"/>
      <c r="CF150" s="35"/>
      <c r="CG150" s="35"/>
      <c r="CH150" s="35"/>
      <c r="CI150" s="35"/>
      <c r="CJ150" s="35"/>
      <c r="CK150" s="35"/>
      <c r="CL150" s="35"/>
      <c r="CM150" s="35"/>
      <c r="CN150" s="35"/>
      <c r="CO150" s="35"/>
    </row>
    <row r="151" spans="1:93" s="4" customFormat="1" ht="320.25" outlineLevel="1" x14ac:dyDescent="0.25">
      <c r="A151" s="111">
        <f>A150+1</f>
        <v>110</v>
      </c>
      <c r="B151" s="112" t="s">
        <v>177</v>
      </c>
      <c r="C151" s="113" t="s">
        <v>134</v>
      </c>
      <c r="D151" s="114" t="s">
        <v>19</v>
      </c>
      <c r="E151" s="115">
        <f t="shared" si="151"/>
        <v>231.6</v>
      </c>
      <c r="F151" s="116">
        <v>0</v>
      </c>
      <c r="G151" s="116">
        <f t="shared" si="152"/>
        <v>16.666666666666668</v>
      </c>
      <c r="H151" s="116">
        <v>20</v>
      </c>
      <c r="I151" s="116">
        <f t="shared" si="123"/>
        <v>0</v>
      </c>
      <c r="J151" s="115">
        <v>0</v>
      </c>
      <c r="K151" s="116">
        <f t="shared" si="153"/>
        <v>12.916666666666668</v>
      </c>
      <c r="L151" s="116">
        <v>15.5</v>
      </c>
      <c r="M151" s="116">
        <f t="shared" si="124"/>
        <v>0</v>
      </c>
      <c r="N151" s="117">
        <v>135</v>
      </c>
      <c r="O151" s="116">
        <f t="shared" si="154"/>
        <v>4.666666666666667</v>
      </c>
      <c r="P151" s="116">
        <v>5.6</v>
      </c>
      <c r="Q151" s="116">
        <f>P151*N151</f>
        <v>756</v>
      </c>
      <c r="R151" s="115">
        <v>0</v>
      </c>
      <c r="S151" s="116">
        <f t="shared" si="162"/>
        <v>15.583333333333334</v>
      </c>
      <c r="T151" s="116">
        <v>18.7</v>
      </c>
      <c r="U151" s="116">
        <f t="shared" si="126"/>
        <v>0</v>
      </c>
      <c r="V151" s="116">
        <v>0</v>
      </c>
      <c r="W151" s="116">
        <f t="shared" si="155"/>
        <v>6.416666666666667</v>
      </c>
      <c r="X151" s="116">
        <v>7.7</v>
      </c>
      <c r="Y151" s="116">
        <f t="shared" si="127"/>
        <v>0</v>
      </c>
      <c r="Z151" s="115">
        <v>0</v>
      </c>
      <c r="AA151" s="116">
        <f t="shared" si="156"/>
        <v>6</v>
      </c>
      <c r="AB151" s="116">
        <v>7.2</v>
      </c>
      <c r="AC151" s="116">
        <f t="shared" si="128"/>
        <v>0</v>
      </c>
      <c r="AD151" s="116">
        <v>0</v>
      </c>
      <c r="AE151" s="116">
        <f t="shared" si="157"/>
        <v>4.666666666666667</v>
      </c>
      <c r="AF151" s="116">
        <v>5.6</v>
      </c>
      <c r="AG151" s="116">
        <f t="shared" si="129"/>
        <v>0</v>
      </c>
      <c r="AH151" s="117">
        <v>88</v>
      </c>
      <c r="AI151" s="116">
        <f t="shared" si="158"/>
        <v>8.3333333333333339</v>
      </c>
      <c r="AJ151" s="116">
        <v>10</v>
      </c>
      <c r="AK151" s="116">
        <f t="shared" si="130"/>
        <v>880</v>
      </c>
      <c r="AL151" s="117">
        <v>8.6</v>
      </c>
      <c r="AM151" s="116">
        <f t="shared" si="159"/>
        <v>12.750000000000002</v>
      </c>
      <c r="AN151" s="116">
        <v>15.3</v>
      </c>
      <c r="AO151" s="116">
        <f t="shared" si="131"/>
        <v>131.58000000000001</v>
      </c>
      <c r="AP151" s="116">
        <f t="shared" si="160"/>
        <v>1472.9833333333333</v>
      </c>
      <c r="AQ151" s="116">
        <f t="shared" si="186"/>
        <v>1767.58</v>
      </c>
      <c r="AR151" s="117">
        <v>0</v>
      </c>
      <c r="AS151" s="116" t="s">
        <v>210</v>
      </c>
      <c r="AT151" s="118">
        <v>0</v>
      </c>
      <c r="AU151" s="118">
        <f t="shared" si="161"/>
        <v>6.1000000000000005</v>
      </c>
      <c r="AV151" s="144">
        <v>7.32</v>
      </c>
      <c r="AW151" s="118">
        <f t="shared" si="133"/>
        <v>0</v>
      </c>
      <c r="AX151" s="118">
        <f t="shared" si="134"/>
        <v>0</v>
      </c>
      <c r="AY151" s="119">
        <f t="shared" si="185"/>
        <v>1472.9833333333333</v>
      </c>
      <c r="AZ151" s="120">
        <f t="shared" si="185"/>
        <v>1767.58</v>
      </c>
      <c r="BA151" s="150"/>
      <c r="BB151" s="151"/>
      <c r="BC151" s="151"/>
      <c r="BD151" s="151"/>
      <c r="BE151" s="37"/>
      <c r="BF151" s="37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</row>
    <row r="152" spans="1:93" s="5" customFormat="1" ht="45.75" outlineLevel="1" x14ac:dyDescent="0.25">
      <c r="A152" s="160" t="s">
        <v>164</v>
      </c>
      <c r="B152" s="161"/>
      <c r="C152" s="161"/>
      <c r="D152" s="124"/>
      <c r="E152" s="115"/>
      <c r="F152" s="124"/>
      <c r="G152" s="116"/>
      <c r="H152" s="124"/>
      <c r="I152" s="124"/>
      <c r="J152" s="124"/>
      <c r="K152" s="116"/>
      <c r="L152" s="116"/>
      <c r="M152" s="124"/>
      <c r="N152" s="124"/>
      <c r="O152" s="116"/>
      <c r="P152" s="116"/>
      <c r="Q152" s="124"/>
      <c r="R152" s="124"/>
      <c r="S152" s="116"/>
      <c r="T152" s="116"/>
      <c r="U152" s="124"/>
      <c r="V152" s="124"/>
      <c r="W152" s="116"/>
      <c r="X152" s="116"/>
      <c r="Y152" s="124"/>
      <c r="Z152" s="124"/>
      <c r="AA152" s="116"/>
      <c r="AB152" s="116"/>
      <c r="AC152" s="124"/>
      <c r="AD152" s="124"/>
      <c r="AE152" s="116"/>
      <c r="AF152" s="116"/>
      <c r="AG152" s="124"/>
      <c r="AH152" s="124"/>
      <c r="AI152" s="116"/>
      <c r="AJ152" s="116"/>
      <c r="AK152" s="124"/>
      <c r="AL152" s="124"/>
      <c r="AM152" s="116"/>
      <c r="AN152" s="116"/>
      <c r="AO152" s="124"/>
      <c r="AP152" s="116"/>
      <c r="AQ152" s="116"/>
      <c r="AR152" s="124"/>
      <c r="AS152" s="116"/>
      <c r="AT152" s="126"/>
      <c r="AU152" s="118"/>
      <c r="AV152" s="144"/>
      <c r="AW152" s="126"/>
      <c r="AX152" s="126"/>
      <c r="AY152" s="119"/>
      <c r="AZ152" s="120"/>
      <c r="BA152" s="9"/>
      <c r="BB152" s="9"/>
      <c r="BC152" s="9"/>
      <c r="BD152" s="9"/>
      <c r="BE152" s="9"/>
      <c r="BF152" s="9"/>
      <c r="CJ152" s="35"/>
      <c r="CK152" s="35"/>
      <c r="CL152" s="35"/>
      <c r="CM152" s="35"/>
      <c r="CN152" s="35"/>
      <c r="CO152" s="35"/>
    </row>
    <row r="153" spans="1:93" s="4" customFormat="1" ht="366" outlineLevel="1" x14ac:dyDescent="0.25">
      <c r="A153" s="111">
        <v>111</v>
      </c>
      <c r="B153" s="112" t="s">
        <v>177</v>
      </c>
      <c r="C153" s="113" t="s">
        <v>136</v>
      </c>
      <c r="D153" s="114" t="s">
        <v>19</v>
      </c>
      <c r="E153" s="115">
        <f t="shared" si="151"/>
        <v>744.3</v>
      </c>
      <c r="F153" s="116">
        <v>0</v>
      </c>
      <c r="G153" s="116">
        <f t="shared" si="152"/>
        <v>16.666666666666668</v>
      </c>
      <c r="H153" s="116">
        <v>20</v>
      </c>
      <c r="I153" s="116">
        <f t="shared" si="123"/>
        <v>0</v>
      </c>
      <c r="J153" s="115">
        <v>94.4</v>
      </c>
      <c r="K153" s="116">
        <f t="shared" si="153"/>
        <v>12.916666666666668</v>
      </c>
      <c r="L153" s="116">
        <v>15.5</v>
      </c>
      <c r="M153" s="116">
        <f t="shared" si="124"/>
        <v>1463.2</v>
      </c>
      <c r="N153" s="117">
        <v>41.1</v>
      </c>
      <c r="O153" s="116">
        <f t="shared" si="154"/>
        <v>4.666666666666667</v>
      </c>
      <c r="P153" s="116">
        <v>5.6</v>
      </c>
      <c r="Q153" s="116">
        <f t="shared" si="125"/>
        <v>230.16</v>
      </c>
      <c r="R153" s="115">
        <v>0</v>
      </c>
      <c r="S153" s="116">
        <f t="shared" si="162"/>
        <v>15.583333333333334</v>
      </c>
      <c r="T153" s="116">
        <v>18.7</v>
      </c>
      <c r="U153" s="116">
        <f t="shared" si="126"/>
        <v>0</v>
      </c>
      <c r="V153" s="116">
        <v>0</v>
      </c>
      <c r="W153" s="116">
        <f t="shared" si="155"/>
        <v>6.416666666666667</v>
      </c>
      <c r="X153" s="116">
        <v>7.7</v>
      </c>
      <c r="Y153" s="116">
        <f t="shared" si="127"/>
        <v>0</v>
      </c>
      <c r="Z153" s="115">
        <v>394.9</v>
      </c>
      <c r="AA153" s="116">
        <f t="shared" si="156"/>
        <v>6</v>
      </c>
      <c r="AB153" s="116">
        <v>7.2</v>
      </c>
      <c r="AC153" s="116">
        <f t="shared" si="128"/>
        <v>2843.2799999999997</v>
      </c>
      <c r="AD153" s="116">
        <v>0</v>
      </c>
      <c r="AE153" s="116">
        <f t="shared" si="157"/>
        <v>4.666666666666667</v>
      </c>
      <c r="AF153" s="116">
        <v>5.6</v>
      </c>
      <c r="AG153" s="116">
        <f t="shared" si="129"/>
        <v>0</v>
      </c>
      <c r="AH153" s="117">
        <v>189.5</v>
      </c>
      <c r="AI153" s="116">
        <f t="shared" si="158"/>
        <v>8.3333333333333339</v>
      </c>
      <c r="AJ153" s="116">
        <v>10</v>
      </c>
      <c r="AK153" s="116">
        <f t="shared" si="130"/>
        <v>1895</v>
      </c>
      <c r="AL153" s="117">
        <v>24.4</v>
      </c>
      <c r="AM153" s="116">
        <f t="shared" si="159"/>
        <v>12.750000000000002</v>
      </c>
      <c r="AN153" s="116">
        <v>15.3</v>
      </c>
      <c r="AO153" s="116">
        <f t="shared" si="131"/>
        <v>373.32</v>
      </c>
      <c r="AP153" s="116">
        <f t="shared" si="160"/>
        <v>5670.7999999999993</v>
      </c>
      <c r="AQ153" s="116">
        <f t="shared" si="186"/>
        <v>6804.9599999999991</v>
      </c>
      <c r="AR153" s="117">
        <v>350</v>
      </c>
      <c r="AS153" s="116" t="s">
        <v>210</v>
      </c>
      <c r="AT153" s="118">
        <v>0</v>
      </c>
      <c r="AU153" s="118">
        <f t="shared" si="161"/>
        <v>6.1000000000000005</v>
      </c>
      <c r="AV153" s="144">
        <v>7.32</v>
      </c>
      <c r="AW153" s="118">
        <f t="shared" si="133"/>
        <v>2135</v>
      </c>
      <c r="AX153" s="118">
        <f t="shared" si="134"/>
        <v>2562</v>
      </c>
      <c r="AY153" s="119">
        <f t="shared" si="185"/>
        <v>7805.7999999999993</v>
      </c>
      <c r="AZ153" s="120">
        <f t="shared" si="185"/>
        <v>9366.9599999999991</v>
      </c>
      <c r="BA153" s="9"/>
      <c r="BB153" s="9"/>
      <c r="BC153" s="9"/>
      <c r="BD153" s="9"/>
      <c r="BE153" s="37"/>
      <c r="BF153" s="37"/>
      <c r="BG153" s="35"/>
      <c r="BH153" s="35"/>
      <c r="BI153" s="35"/>
      <c r="BJ153" s="35"/>
      <c r="BK153" s="35"/>
      <c r="BL153" s="35"/>
      <c r="BM153" s="35"/>
      <c r="BN153" s="35"/>
      <c r="BO153" s="35"/>
      <c r="BP153" s="35"/>
      <c r="BQ153" s="35"/>
      <c r="BR153" s="35"/>
      <c r="BS153" s="35"/>
      <c r="BT153" s="35"/>
      <c r="BU153" s="35"/>
      <c r="BV153" s="35"/>
      <c r="BW153" s="35"/>
      <c r="BX153" s="35"/>
      <c r="BY153" s="35"/>
      <c r="BZ153" s="35"/>
      <c r="CA153" s="35"/>
      <c r="CB153" s="35"/>
      <c r="CC153" s="35"/>
      <c r="CD153" s="35"/>
      <c r="CE153" s="35"/>
      <c r="CF153" s="35"/>
      <c r="CG153" s="35"/>
      <c r="CH153" s="35"/>
      <c r="CI153" s="35"/>
      <c r="CJ153" s="35"/>
      <c r="CK153" s="35"/>
      <c r="CL153" s="35"/>
      <c r="CM153" s="35"/>
      <c r="CN153" s="35"/>
      <c r="CO153" s="35"/>
    </row>
    <row r="154" spans="1:93" s="4" customFormat="1" ht="366" outlineLevel="1" x14ac:dyDescent="0.25">
      <c r="A154" s="111">
        <f>A153+1</f>
        <v>112</v>
      </c>
      <c r="B154" s="112" t="s">
        <v>177</v>
      </c>
      <c r="C154" s="113" t="s">
        <v>235</v>
      </c>
      <c r="D154" s="114" t="s">
        <v>19</v>
      </c>
      <c r="E154" s="115">
        <f t="shared" si="151"/>
        <v>838.30000000000007</v>
      </c>
      <c r="F154" s="116">
        <v>0</v>
      </c>
      <c r="G154" s="116">
        <f t="shared" si="152"/>
        <v>16.666666666666668</v>
      </c>
      <c r="H154" s="116">
        <v>20</v>
      </c>
      <c r="I154" s="116">
        <f t="shared" si="123"/>
        <v>0</v>
      </c>
      <c r="J154" s="115">
        <v>69.8</v>
      </c>
      <c r="K154" s="116">
        <f t="shared" si="153"/>
        <v>12.916666666666668</v>
      </c>
      <c r="L154" s="116">
        <v>15.5</v>
      </c>
      <c r="M154" s="116">
        <f t="shared" si="124"/>
        <v>1081.8999999999999</v>
      </c>
      <c r="N154" s="117">
        <v>313.8</v>
      </c>
      <c r="O154" s="116">
        <f t="shared" si="154"/>
        <v>4.666666666666667</v>
      </c>
      <c r="P154" s="116">
        <v>5.6</v>
      </c>
      <c r="Q154" s="116">
        <f t="shared" si="125"/>
        <v>1757.28</v>
      </c>
      <c r="R154" s="115">
        <v>0</v>
      </c>
      <c r="S154" s="116">
        <f t="shared" si="162"/>
        <v>15.583333333333334</v>
      </c>
      <c r="T154" s="116">
        <v>18.7</v>
      </c>
      <c r="U154" s="116">
        <f t="shared" si="126"/>
        <v>0</v>
      </c>
      <c r="V154" s="116">
        <v>27.6</v>
      </c>
      <c r="W154" s="116">
        <f t="shared" si="155"/>
        <v>6.416666666666667</v>
      </c>
      <c r="X154" s="116">
        <v>7.7</v>
      </c>
      <c r="Y154" s="116">
        <f t="shared" si="127"/>
        <v>212.52</v>
      </c>
      <c r="Z154" s="115">
        <v>105.4</v>
      </c>
      <c r="AA154" s="116">
        <f t="shared" si="156"/>
        <v>6</v>
      </c>
      <c r="AB154" s="116">
        <v>7.2</v>
      </c>
      <c r="AC154" s="116">
        <f t="shared" si="128"/>
        <v>758.88000000000011</v>
      </c>
      <c r="AD154" s="116">
        <v>0</v>
      </c>
      <c r="AE154" s="116">
        <f t="shared" si="157"/>
        <v>4.666666666666667</v>
      </c>
      <c r="AF154" s="116">
        <v>5.6</v>
      </c>
      <c r="AG154" s="116">
        <f t="shared" si="129"/>
        <v>0</v>
      </c>
      <c r="AH154" s="117">
        <v>303.8</v>
      </c>
      <c r="AI154" s="116">
        <f t="shared" si="158"/>
        <v>8.3333333333333339</v>
      </c>
      <c r="AJ154" s="116">
        <v>10</v>
      </c>
      <c r="AK154" s="116">
        <f t="shared" si="130"/>
        <v>3038</v>
      </c>
      <c r="AL154" s="117">
        <v>17.899999999999999</v>
      </c>
      <c r="AM154" s="116">
        <f t="shared" si="159"/>
        <v>12.750000000000002</v>
      </c>
      <c r="AN154" s="116">
        <v>15.3</v>
      </c>
      <c r="AO154" s="116">
        <f t="shared" si="131"/>
        <v>273.87</v>
      </c>
      <c r="AP154" s="116">
        <f t="shared" si="160"/>
        <v>5935.375</v>
      </c>
      <c r="AQ154" s="116">
        <f t="shared" si="186"/>
        <v>7122.45</v>
      </c>
      <c r="AR154" s="117">
        <v>420</v>
      </c>
      <c r="AS154" s="116" t="s">
        <v>210</v>
      </c>
      <c r="AT154" s="118">
        <v>0</v>
      </c>
      <c r="AU154" s="118">
        <f t="shared" si="161"/>
        <v>6.1000000000000005</v>
      </c>
      <c r="AV154" s="144">
        <v>7.32</v>
      </c>
      <c r="AW154" s="118">
        <f t="shared" si="133"/>
        <v>2562</v>
      </c>
      <c r="AX154" s="118">
        <f t="shared" si="134"/>
        <v>3074.4</v>
      </c>
      <c r="AY154" s="119">
        <f t="shared" si="185"/>
        <v>8497.375</v>
      </c>
      <c r="AZ154" s="120">
        <f t="shared" si="185"/>
        <v>10196.85</v>
      </c>
      <c r="BA154" s="9"/>
      <c r="BB154" s="9"/>
      <c r="BC154" s="9"/>
      <c r="BD154" s="9"/>
      <c r="BE154" s="37"/>
      <c r="BF154" s="37"/>
      <c r="BG154" s="35"/>
      <c r="BH154" s="35"/>
      <c r="BI154" s="35"/>
      <c r="BJ154" s="35"/>
      <c r="BK154" s="35"/>
      <c r="BL154" s="35"/>
      <c r="BM154" s="35"/>
      <c r="BN154" s="35"/>
      <c r="BO154" s="35"/>
      <c r="BP154" s="35"/>
      <c r="BQ154" s="35"/>
      <c r="BR154" s="35"/>
      <c r="BS154" s="35"/>
      <c r="BT154" s="35"/>
      <c r="BU154" s="35"/>
      <c r="BV154" s="35"/>
      <c r="BW154" s="35"/>
      <c r="BX154" s="35"/>
      <c r="BY154" s="35"/>
      <c r="BZ154" s="35"/>
      <c r="CA154" s="35"/>
      <c r="CB154" s="35"/>
      <c r="CC154" s="35"/>
      <c r="CD154" s="35"/>
      <c r="CE154" s="35"/>
      <c r="CF154" s="35"/>
      <c r="CG154" s="35"/>
      <c r="CH154" s="35"/>
      <c r="CI154" s="35"/>
      <c r="CJ154" s="35"/>
      <c r="CK154" s="35"/>
      <c r="CL154" s="35"/>
      <c r="CM154" s="35"/>
      <c r="CN154" s="35"/>
      <c r="CO154" s="35"/>
    </row>
    <row r="155" spans="1:93" s="26" customFormat="1" ht="45.75" outlineLevel="1" x14ac:dyDescent="0.3">
      <c r="A155" s="162" t="s">
        <v>197</v>
      </c>
      <c r="B155" s="163"/>
      <c r="C155" s="163"/>
      <c r="D155" s="131"/>
      <c r="E155" s="115"/>
      <c r="F155" s="131"/>
      <c r="G155" s="116"/>
      <c r="H155" s="131"/>
      <c r="I155" s="131"/>
      <c r="J155" s="131"/>
      <c r="K155" s="116"/>
      <c r="L155" s="116"/>
      <c r="M155" s="131"/>
      <c r="N155" s="131"/>
      <c r="O155" s="116"/>
      <c r="P155" s="116"/>
      <c r="Q155" s="131"/>
      <c r="R155" s="131"/>
      <c r="S155" s="116"/>
      <c r="T155" s="116"/>
      <c r="U155" s="131"/>
      <c r="V155" s="131"/>
      <c r="W155" s="116"/>
      <c r="X155" s="116"/>
      <c r="Y155" s="131"/>
      <c r="Z155" s="131"/>
      <c r="AA155" s="116"/>
      <c r="AB155" s="116"/>
      <c r="AC155" s="131"/>
      <c r="AD155" s="131"/>
      <c r="AE155" s="116"/>
      <c r="AF155" s="116"/>
      <c r="AG155" s="131"/>
      <c r="AH155" s="131"/>
      <c r="AI155" s="116"/>
      <c r="AJ155" s="116"/>
      <c r="AK155" s="131"/>
      <c r="AL155" s="131"/>
      <c r="AM155" s="116"/>
      <c r="AN155" s="116"/>
      <c r="AO155" s="131"/>
      <c r="AP155" s="116"/>
      <c r="AQ155" s="129"/>
      <c r="AR155" s="131"/>
      <c r="AS155" s="116"/>
      <c r="AT155" s="126"/>
      <c r="AU155" s="118"/>
      <c r="AV155" s="144"/>
      <c r="AW155" s="126"/>
      <c r="AX155" s="126"/>
      <c r="AY155" s="127"/>
      <c r="AZ155" s="130"/>
      <c r="BA155" s="25"/>
      <c r="BB155" s="25"/>
      <c r="BC155" s="25"/>
      <c r="BD155" s="25"/>
      <c r="BE155" s="25"/>
      <c r="BF155" s="25"/>
      <c r="CJ155" s="36"/>
      <c r="CK155" s="36"/>
      <c r="CL155" s="36"/>
      <c r="CM155" s="36"/>
      <c r="CN155" s="36"/>
      <c r="CO155" s="36"/>
    </row>
    <row r="156" spans="1:93" s="4" customFormat="1" ht="228.75" outlineLevel="1" x14ac:dyDescent="0.25">
      <c r="A156" s="111">
        <v>113</v>
      </c>
      <c r="B156" s="112" t="s">
        <v>200</v>
      </c>
      <c r="C156" s="113" t="s">
        <v>201</v>
      </c>
      <c r="D156" s="114" t="s">
        <v>19</v>
      </c>
      <c r="E156" s="115">
        <f t="shared" si="151"/>
        <v>17</v>
      </c>
      <c r="F156" s="116">
        <v>0</v>
      </c>
      <c r="G156" s="116">
        <f t="shared" si="152"/>
        <v>16.666666666666668</v>
      </c>
      <c r="H156" s="116">
        <v>20</v>
      </c>
      <c r="I156" s="116">
        <f t="shared" ref="I156:I172" si="187">H156*F156</f>
        <v>0</v>
      </c>
      <c r="J156" s="115">
        <v>0</v>
      </c>
      <c r="K156" s="116">
        <f t="shared" si="153"/>
        <v>12.916666666666668</v>
      </c>
      <c r="L156" s="116">
        <v>15.5</v>
      </c>
      <c r="M156" s="116">
        <f t="shared" ref="M156:M172" si="188">L156*J156</f>
        <v>0</v>
      </c>
      <c r="N156" s="117">
        <v>17</v>
      </c>
      <c r="O156" s="116">
        <f t="shared" si="154"/>
        <v>4.666666666666667</v>
      </c>
      <c r="P156" s="116">
        <v>5.6</v>
      </c>
      <c r="Q156" s="116">
        <f t="shared" ref="Q156:Q172" si="189">P156*N156</f>
        <v>95.199999999999989</v>
      </c>
      <c r="R156" s="115">
        <v>0</v>
      </c>
      <c r="S156" s="116">
        <f t="shared" si="162"/>
        <v>15.583333333333334</v>
      </c>
      <c r="T156" s="116">
        <v>18.7</v>
      </c>
      <c r="U156" s="116">
        <f t="shared" ref="U156:U172" si="190">T156*R156</f>
        <v>0</v>
      </c>
      <c r="V156" s="116">
        <v>0</v>
      </c>
      <c r="W156" s="116">
        <f t="shared" si="155"/>
        <v>6.416666666666667</v>
      </c>
      <c r="X156" s="116">
        <v>7.7</v>
      </c>
      <c r="Y156" s="116">
        <f t="shared" ref="Y156:Y172" si="191">X156*V156</f>
        <v>0</v>
      </c>
      <c r="Z156" s="115">
        <v>0</v>
      </c>
      <c r="AA156" s="116">
        <f t="shared" si="156"/>
        <v>6</v>
      </c>
      <c r="AB156" s="116">
        <v>7.2</v>
      </c>
      <c r="AC156" s="116">
        <f t="shared" ref="AC156:AC172" si="192">AB156*Z156</f>
        <v>0</v>
      </c>
      <c r="AD156" s="116">
        <v>0</v>
      </c>
      <c r="AE156" s="116">
        <f t="shared" si="157"/>
        <v>4.666666666666667</v>
      </c>
      <c r="AF156" s="116">
        <v>5.6</v>
      </c>
      <c r="AG156" s="116">
        <f t="shared" ref="AG156:AG172" si="193">AF156*AD156</f>
        <v>0</v>
      </c>
      <c r="AH156" s="117">
        <v>0</v>
      </c>
      <c r="AI156" s="116">
        <f t="shared" si="158"/>
        <v>8.3333333333333339</v>
      </c>
      <c r="AJ156" s="116">
        <v>10</v>
      </c>
      <c r="AK156" s="116">
        <f t="shared" ref="AK156:AK172" si="194">AJ156*AH156</f>
        <v>0</v>
      </c>
      <c r="AL156" s="117">
        <v>0</v>
      </c>
      <c r="AM156" s="116">
        <f t="shared" si="159"/>
        <v>12.750000000000002</v>
      </c>
      <c r="AN156" s="116">
        <v>15.3</v>
      </c>
      <c r="AO156" s="116">
        <f t="shared" ref="AO156:AO172" si="195">AN156*AL156</f>
        <v>0</v>
      </c>
      <c r="AP156" s="116">
        <f t="shared" si="160"/>
        <v>79.333333333333329</v>
      </c>
      <c r="AQ156" s="116">
        <f t="shared" si="186"/>
        <v>95.199999999999989</v>
      </c>
      <c r="AR156" s="117">
        <v>0</v>
      </c>
      <c r="AS156" s="116" t="s">
        <v>210</v>
      </c>
      <c r="AT156" s="118">
        <v>0</v>
      </c>
      <c r="AU156" s="118">
        <f t="shared" si="161"/>
        <v>6.1000000000000005</v>
      </c>
      <c r="AV156" s="144">
        <v>7.32</v>
      </c>
      <c r="AW156" s="118">
        <f t="shared" ref="AW156:AW172" si="196">AU156*AR156</f>
        <v>0</v>
      </c>
      <c r="AX156" s="118">
        <f t="shared" ref="AX156" si="197">AV156*AR156</f>
        <v>0</v>
      </c>
      <c r="AY156" s="119">
        <f t="shared" si="185"/>
        <v>79.333333333333329</v>
      </c>
      <c r="AZ156" s="120">
        <f t="shared" si="185"/>
        <v>95.199999999999989</v>
      </c>
      <c r="BA156" s="9"/>
      <c r="BB156" s="9"/>
      <c r="BC156" s="9"/>
      <c r="BD156" s="9"/>
      <c r="BE156" s="37"/>
      <c r="BF156" s="37"/>
      <c r="BG156" s="35"/>
      <c r="BH156" s="35"/>
      <c r="BI156" s="35"/>
      <c r="BJ156" s="35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/>
      <c r="BY156" s="35"/>
      <c r="BZ156" s="35"/>
      <c r="CA156" s="35"/>
      <c r="CB156" s="35"/>
      <c r="CC156" s="35"/>
      <c r="CD156" s="35"/>
      <c r="CE156" s="35"/>
      <c r="CF156" s="35"/>
      <c r="CG156" s="35"/>
      <c r="CH156" s="35"/>
      <c r="CI156" s="35"/>
      <c r="CJ156" s="35"/>
      <c r="CK156" s="35"/>
      <c r="CL156" s="35"/>
      <c r="CM156" s="35"/>
      <c r="CN156" s="35"/>
      <c r="CO156" s="35"/>
    </row>
    <row r="157" spans="1:93" s="4" customFormat="1" ht="228.75" outlineLevel="1" x14ac:dyDescent="0.6">
      <c r="A157" s="111">
        <v>114</v>
      </c>
      <c r="B157" s="112" t="s">
        <v>55</v>
      </c>
      <c r="C157" s="113" t="s">
        <v>56</v>
      </c>
      <c r="D157" s="114" t="s">
        <v>19</v>
      </c>
      <c r="E157" s="115">
        <f t="shared" si="151"/>
        <v>217.3</v>
      </c>
      <c r="F157" s="116">
        <v>0</v>
      </c>
      <c r="G157" s="116">
        <f t="shared" si="152"/>
        <v>16.666666666666668</v>
      </c>
      <c r="H157" s="116">
        <v>20</v>
      </c>
      <c r="I157" s="116">
        <f>H157*F157</f>
        <v>0</v>
      </c>
      <c r="J157" s="115">
        <v>0</v>
      </c>
      <c r="K157" s="116">
        <f t="shared" si="153"/>
        <v>12.916666666666668</v>
      </c>
      <c r="L157" s="116">
        <v>15.5</v>
      </c>
      <c r="M157" s="116">
        <f>L157*J157</f>
        <v>0</v>
      </c>
      <c r="N157" s="117">
        <v>217.3</v>
      </c>
      <c r="O157" s="116">
        <f t="shared" si="154"/>
        <v>4.666666666666667</v>
      </c>
      <c r="P157" s="116">
        <v>5.6</v>
      </c>
      <c r="Q157" s="116">
        <f>P157*N157</f>
        <v>1216.8799999999999</v>
      </c>
      <c r="R157" s="115">
        <v>0</v>
      </c>
      <c r="S157" s="116">
        <f t="shared" si="162"/>
        <v>15.583333333333334</v>
      </c>
      <c r="T157" s="116">
        <v>18.7</v>
      </c>
      <c r="U157" s="116">
        <f>T157*R157</f>
        <v>0</v>
      </c>
      <c r="V157" s="116">
        <v>0</v>
      </c>
      <c r="W157" s="116">
        <f t="shared" si="155"/>
        <v>6.416666666666667</v>
      </c>
      <c r="X157" s="116">
        <v>7.7</v>
      </c>
      <c r="Y157" s="116">
        <f>X157*V157</f>
        <v>0</v>
      </c>
      <c r="Z157" s="115">
        <v>0</v>
      </c>
      <c r="AA157" s="116">
        <f t="shared" si="156"/>
        <v>6</v>
      </c>
      <c r="AB157" s="116">
        <v>7.2</v>
      </c>
      <c r="AC157" s="116">
        <f>AB157*Z157</f>
        <v>0</v>
      </c>
      <c r="AD157" s="116">
        <v>0</v>
      </c>
      <c r="AE157" s="116">
        <f t="shared" si="157"/>
        <v>4.666666666666667</v>
      </c>
      <c r="AF157" s="116">
        <v>5.6</v>
      </c>
      <c r="AG157" s="116">
        <f>AF157*AD157</f>
        <v>0</v>
      </c>
      <c r="AH157" s="117">
        <v>0</v>
      </c>
      <c r="AI157" s="116">
        <f t="shared" si="158"/>
        <v>8.3333333333333339</v>
      </c>
      <c r="AJ157" s="116">
        <v>10</v>
      </c>
      <c r="AK157" s="116">
        <f>AJ157*AH157</f>
        <v>0</v>
      </c>
      <c r="AL157" s="117">
        <v>0</v>
      </c>
      <c r="AM157" s="116">
        <f t="shared" si="159"/>
        <v>12.750000000000002</v>
      </c>
      <c r="AN157" s="116">
        <v>15.3</v>
      </c>
      <c r="AO157" s="116">
        <f>AN157*AL157</f>
        <v>0</v>
      </c>
      <c r="AP157" s="116">
        <f t="shared" si="160"/>
        <v>1014.0666666666666</v>
      </c>
      <c r="AQ157" s="116">
        <f>I157+M157+Q157+U157+Y157+AC157+AG157+AK157+AO157</f>
        <v>1216.8799999999999</v>
      </c>
      <c r="AR157" s="117">
        <v>0</v>
      </c>
      <c r="AS157" s="116" t="s">
        <v>210</v>
      </c>
      <c r="AT157" s="118">
        <v>0</v>
      </c>
      <c r="AU157" s="118">
        <f t="shared" si="161"/>
        <v>6.1000000000000005</v>
      </c>
      <c r="AV157" s="144">
        <v>7.32</v>
      </c>
      <c r="AW157" s="118">
        <f>AU157*AR157</f>
        <v>0</v>
      </c>
      <c r="AX157" s="118">
        <f>AV157*AR157</f>
        <v>0</v>
      </c>
      <c r="AY157" s="119">
        <f>AP157+AW157</f>
        <v>1014.0666666666666</v>
      </c>
      <c r="AZ157" s="120">
        <f>AQ157+AX157</f>
        <v>1216.8799999999999</v>
      </c>
      <c r="BA157" s="148"/>
      <c r="BB157" s="149"/>
      <c r="BC157" s="149"/>
      <c r="BD157" s="9"/>
      <c r="BE157" s="37"/>
      <c r="BF157" s="37"/>
      <c r="BG157" s="35"/>
      <c r="BH157" s="35"/>
      <c r="BI157" s="35"/>
      <c r="BJ157" s="35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/>
      <c r="BY157" s="35"/>
      <c r="BZ157" s="35"/>
      <c r="CA157" s="35"/>
      <c r="CB157" s="35"/>
      <c r="CC157" s="35"/>
      <c r="CD157" s="35"/>
      <c r="CE157" s="35"/>
      <c r="CF157" s="35"/>
      <c r="CG157" s="35"/>
      <c r="CH157" s="35"/>
      <c r="CI157" s="35"/>
      <c r="CJ157" s="35"/>
      <c r="CK157" s="35"/>
      <c r="CL157" s="35"/>
      <c r="CM157" s="35"/>
      <c r="CN157" s="35"/>
      <c r="CO157" s="35"/>
    </row>
    <row r="158" spans="1:93" s="4" customFormat="1" ht="409.5" outlineLevel="1" x14ac:dyDescent="0.25">
      <c r="A158" s="111">
        <f>A157+1</f>
        <v>115</v>
      </c>
      <c r="B158" s="112" t="s">
        <v>199</v>
      </c>
      <c r="C158" s="113" t="s">
        <v>168</v>
      </c>
      <c r="D158" s="114" t="s">
        <v>19</v>
      </c>
      <c r="E158" s="115">
        <f t="shared" si="151"/>
        <v>889</v>
      </c>
      <c r="F158" s="116">
        <v>0</v>
      </c>
      <c r="G158" s="116">
        <f t="shared" si="152"/>
        <v>16.666666666666668</v>
      </c>
      <c r="H158" s="116">
        <v>20</v>
      </c>
      <c r="I158" s="116">
        <f t="shared" si="187"/>
        <v>0</v>
      </c>
      <c r="J158" s="115">
        <v>41.6</v>
      </c>
      <c r="K158" s="116">
        <f t="shared" si="153"/>
        <v>12.916666666666668</v>
      </c>
      <c r="L158" s="116">
        <v>15.5</v>
      </c>
      <c r="M158" s="116">
        <f t="shared" si="188"/>
        <v>644.80000000000007</v>
      </c>
      <c r="N158" s="117">
        <v>581</v>
      </c>
      <c r="O158" s="116">
        <f t="shared" si="154"/>
        <v>4.666666666666667</v>
      </c>
      <c r="P158" s="116">
        <v>5.6</v>
      </c>
      <c r="Q158" s="116">
        <f t="shared" si="189"/>
        <v>3253.6</v>
      </c>
      <c r="R158" s="115">
        <v>0</v>
      </c>
      <c r="S158" s="116">
        <f t="shared" si="162"/>
        <v>15.583333333333334</v>
      </c>
      <c r="T158" s="116">
        <v>18.7</v>
      </c>
      <c r="U158" s="116">
        <f t="shared" si="190"/>
        <v>0</v>
      </c>
      <c r="V158" s="116">
        <v>83.3</v>
      </c>
      <c r="W158" s="116">
        <f t="shared" si="155"/>
        <v>6.416666666666667</v>
      </c>
      <c r="X158" s="116">
        <v>7.7</v>
      </c>
      <c r="Y158" s="116">
        <f t="shared" si="191"/>
        <v>641.41</v>
      </c>
      <c r="Z158" s="115">
        <v>154.30000000000001</v>
      </c>
      <c r="AA158" s="116">
        <f t="shared" si="156"/>
        <v>6</v>
      </c>
      <c r="AB158" s="116">
        <v>7.2</v>
      </c>
      <c r="AC158" s="116">
        <f t="shared" si="192"/>
        <v>1110.96</v>
      </c>
      <c r="AD158" s="116">
        <v>0</v>
      </c>
      <c r="AE158" s="116">
        <f t="shared" si="157"/>
        <v>4.666666666666667</v>
      </c>
      <c r="AF158" s="116">
        <v>5.6</v>
      </c>
      <c r="AG158" s="116">
        <f t="shared" si="193"/>
        <v>0</v>
      </c>
      <c r="AH158" s="117">
        <v>27.3</v>
      </c>
      <c r="AI158" s="116">
        <f t="shared" si="158"/>
        <v>8.3333333333333339</v>
      </c>
      <c r="AJ158" s="116">
        <v>10</v>
      </c>
      <c r="AK158" s="116">
        <f t="shared" si="194"/>
        <v>273</v>
      </c>
      <c r="AL158" s="117">
        <v>1.5</v>
      </c>
      <c r="AM158" s="116">
        <f t="shared" si="159"/>
        <v>12.750000000000002</v>
      </c>
      <c r="AN158" s="116">
        <v>15.3</v>
      </c>
      <c r="AO158" s="116">
        <f t="shared" si="195"/>
        <v>22.950000000000003</v>
      </c>
      <c r="AP158" s="116">
        <f t="shared" si="160"/>
        <v>4955.6000000000004</v>
      </c>
      <c r="AQ158" s="116">
        <f t="shared" si="186"/>
        <v>5946.72</v>
      </c>
      <c r="AR158" s="117">
        <v>0</v>
      </c>
      <c r="AS158" s="116" t="s">
        <v>210</v>
      </c>
      <c r="AT158" s="118">
        <v>0</v>
      </c>
      <c r="AU158" s="118">
        <f t="shared" si="161"/>
        <v>6.1000000000000005</v>
      </c>
      <c r="AV158" s="144">
        <v>7.32</v>
      </c>
      <c r="AW158" s="118">
        <f t="shared" si="196"/>
        <v>0</v>
      </c>
      <c r="AX158" s="118">
        <f t="shared" ref="AX158:AX172" si="198">AV158*AR158</f>
        <v>0</v>
      </c>
      <c r="AY158" s="119">
        <f t="shared" si="185"/>
        <v>4955.6000000000004</v>
      </c>
      <c r="AZ158" s="120">
        <f t="shared" si="185"/>
        <v>5946.72</v>
      </c>
      <c r="BA158" s="9"/>
      <c r="BB158" s="9"/>
      <c r="BC158" s="9"/>
      <c r="BD158" s="9"/>
      <c r="BE158" s="37"/>
      <c r="BF158" s="37"/>
      <c r="BG158" s="35"/>
      <c r="BH158" s="35"/>
      <c r="BI158" s="35"/>
      <c r="BJ158" s="35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/>
      <c r="BY158" s="35"/>
      <c r="BZ158" s="35"/>
      <c r="CA158" s="35"/>
      <c r="CB158" s="35"/>
      <c r="CC158" s="35"/>
      <c r="CD158" s="35"/>
      <c r="CE158" s="35"/>
      <c r="CF158" s="35"/>
      <c r="CG158" s="35"/>
      <c r="CH158" s="35"/>
      <c r="CI158" s="35"/>
      <c r="CJ158" s="35"/>
      <c r="CK158" s="35"/>
      <c r="CL158" s="35"/>
      <c r="CM158" s="35"/>
      <c r="CN158" s="35"/>
      <c r="CO158" s="35"/>
    </row>
    <row r="159" spans="1:93" s="4" customFormat="1" ht="228.75" outlineLevel="1" x14ac:dyDescent="0.25">
      <c r="A159" s="111">
        <f>A158+1</f>
        <v>116</v>
      </c>
      <c r="B159" s="112" t="s">
        <v>199</v>
      </c>
      <c r="C159" s="113" t="s">
        <v>169</v>
      </c>
      <c r="D159" s="114" t="s">
        <v>19</v>
      </c>
      <c r="E159" s="115">
        <f t="shared" si="151"/>
        <v>1064.5000000000002</v>
      </c>
      <c r="F159" s="116">
        <v>0</v>
      </c>
      <c r="G159" s="116">
        <f t="shared" si="152"/>
        <v>16.666666666666668</v>
      </c>
      <c r="H159" s="116">
        <v>20</v>
      </c>
      <c r="I159" s="116">
        <f t="shared" si="187"/>
        <v>0</v>
      </c>
      <c r="J159" s="115">
        <v>72.7</v>
      </c>
      <c r="K159" s="116">
        <f t="shared" si="153"/>
        <v>12.916666666666668</v>
      </c>
      <c r="L159" s="116">
        <v>15.5</v>
      </c>
      <c r="M159" s="116">
        <f t="shared" si="188"/>
        <v>1126.8500000000001</v>
      </c>
      <c r="N159" s="117">
        <f>686</f>
        <v>686</v>
      </c>
      <c r="O159" s="116">
        <f t="shared" si="154"/>
        <v>4.666666666666667</v>
      </c>
      <c r="P159" s="116">
        <v>5.6</v>
      </c>
      <c r="Q159" s="116">
        <f t="shared" si="189"/>
        <v>3841.6</v>
      </c>
      <c r="R159" s="115">
        <v>0</v>
      </c>
      <c r="S159" s="116">
        <f t="shared" si="162"/>
        <v>15.583333333333334</v>
      </c>
      <c r="T159" s="116">
        <v>18.7</v>
      </c>
      <c r="U159" s="116">
        <f t="shared" si="190"/>
        <v>0</v>
      </c>
      <c r="V159" s="116">
        <v>60</v>
      </c>
      <c r="W159" s="116">
        <f t="shared" si="155"/>
        <v>6.416666666666667</v>
      </c>
      <c r="X159" s="116">
        <v>7.7</v>
      </c>
      <c r="Y159" s="116">
        <f t="shared" si="191"/>
        <v>462</v>
      </c>
      <c r="Z159" s="115">
        <v>164</v>
      </c>
      <c r="AA159" s="116">
        <f t="shared" si="156"/>
        <v>6</v>
      </c>
      <c r="AB159" s="116">
        <v>7.2</v>
      </c>
      <c r="AC159" s="116">
        <f t="shared" si="192"/>
        <v>1180.8</v>
      </c>
      <c r="AD159" s="116">
        <v>0</v>
      </c>
      <c r="AE159" s="116">
        <f t="shared" si="157"/>
        <v>4.666666666666667</v>
      </c>
      <c r="AF159" s="116">
        <v>5.6</v>
      </c>
      <c r="AG159" s="116">
        <f t="shared" si="193"/>
        <v>0</v>
      </c>
      <c r="AH159" s="117">
        <f>44+14.4</f>
        <v>58.4</v>
      </c>
      <c r="AI159" s="116">
        <f t="shared" si="158"/>
        <v>8.3333333333333339</v>
      </c>
      <c r="AJ159" s="116">
        <v>10</v>
      </c>
      <c r="AK159" s="116">
        <f t="shared" si="194"/>
        <v>584</v>
      </c>
      <c r="AL159" s="117">
        <f>13.8+6.8+2.8</f>
        <v>23.400000000000002</v>
      </c>
      <c r="AM159" s="116">
        <f t="shared" si="159"/>
        <v>12.750000000000002</v>
      </c>
      <c r="AN159" s="116">
        <v>15.3</v>
      </c>
      <c r="AO159" s="116">
        <f t="shared" si="195"/>
        <v>358.02000000000004</v>
      </c>
      <c r="AP159" s="116">
        <f t="shared" si="160"/>
        <v>6294.3916666666673</v>
      </c>
      <c r="AQ159" s="116">
        <f t="shared" si="186"/>
        <v>7553.27</v>
      </c>
      <c r="AR159" s="117">
        <v>0</v>
      </c>
      <c r="AS159" s="116" t="s">
        <v>210</v>
      </c>
      <c r="AT159" s="118">
        <v>0</v>
      </c>
      <c r="AU159" s="118">
        <f t="shared" si="161"/>
        <v>6.1000000000000005</v>
      </c>
      <c r="AV159" s="144">
        <v>7.32</v>
      </c>
      <c r="AW159" s="118">
        <f t="shared" si="196"/>
        <v>0</v>
      </c>
      <c r="AX159" s="118">
        <f t="shared" si="198"/>
        <v>0</v>
      </c>
      <c r="AY159" s="119">
        <f t="shared" si="185"/>
        <v>6294.3916666666673</v>
      </c>
      <c r="AZ159" s="120">
        <f t="shared" si="185"/>
        <v>7553.27</v>
      </c>
      <c r="BA159" s="9"/>
      <c r="BB159" s="9"/>
      <c r="BC159" s="9"/>
      <c r="BD159" s="9"/>
      <c r="BE159" s="37"/>
      <c r="BF159" s="37"/>
      <c r="BG159" s="35"/>
      <c r="BH159" s="35"/>
      <c r="BI159" s="35"/>
      <c r="BJ159" s="35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/>
      <c r="BY159" s="35"/>
      <c r="BZ159" s="35"/>
      <c r="CA159" s="35"/>
      <c r="CB159" s="35"/>
      <c r="CC159" s="35"/>
      <c r="CD159" s="35"/>
      <c r="CE159" s="35"/>
      <c r="CF159" s="35"/>
      <c r="CG159" s="35"/>
      <c r="CH159" s="35"/>
      <c r="CI159" s="35"/>
      <c r="CJ159" s="35"/>
      <c r="CK159" s="35"/>
      <c r="CL159" s="35"/>
      <c r="CM159" s="35"/>
      <c r="CN159" s="35"/>
      <c r="CO159" s="35"/>
    </row>
    <row r="160" spans="1:93" s="4" customFormat="1" ht="320.25" outlineLevel="1" x14ac:dyDescent="0.25">
      <c r="A160" s="111">
        <f t="shared" ref="A160:A166" si="199">A159+1</f>
        <v>117</v>
      </c>
      <c r="B160" s="112" t="s">
        <v>199</v>
      </c>
      <c r="C160" s="113" t="s">
        <v>170</v>
      </c>
      <c r="D160" s="114" t="s">
        <v>19</v>
      </c>
      <c r="E160" s="115">
        <f t="shared" si="151"/>
        <v>1212.5999999999999</v>
      </c>
      <c r="F160" s="116">
        <v>0</v>
      </c>
      <c r="G160" s="116">
        <f t="shared" si="152"/>
        <v>16.666666666666668</v>
      </c>
      <c r="H160" s="116">
        <v>20</v>
      </c>
      <c r="I160" s="116">
        <f t="shared" si="187"/>
        <v>0</v>
      </c>
      <c r="J160" s="115">
        <f>50.8+90</f>
        <v>140.80000000000001</v>
      </c>
      <c r="K160" s="116">
        <f t="shared" si="153"/>
        <v>12.916666666666668</v>
      </c>
      <c r="L160" s="116">
        <v>15.5</v>
      </c>
      <c r="M160" s="116">
        <f t="shared" si="188"/>
        <v>2182.4</v>
      </c>
      <c r="N160" s="117">
        <f>388+38.5+430+12</f>
        <v>868.5</v>
      </c>
      <c r="O160" s="116">
        <f t="shared" si="154"/>
        <v>4.666666666666667</v>
      </c>
      <c r="P160" s="116">
        <v>5.6</v>
      </c>
      <c r="Q160" s="116">
        <f t="shared" si="189"/>
        <v>4863.5999999999995</v>
      </c>
      <c r="R160" s="115">
        <v>0</v>
      </c>
      <c r="S160" s="116">
        <f t="shared" si="162"/>
        <v>15.583333333333334</v>
      </c>
      <c r="T160" s="116">
        <v>18.7</v>
      </c>
      <c r="U160" s="116">
        <f t="shared" si="190"/>
        <v>0</v>
      </c>
      <c r="V160" s="116">
        <f>10+30</f>
        <v>40</v>
      </c>
      <c r="W160" s="116">
        <f t="shared" si="155"/>
        <v>6.416666666666667</v>
      </c>
      <c r="X160" s="116">
        <v>7.7</v>
      </c>
      <c r="Y160" s="116">
        <f t="shared" si="191"/>
        <v>308</v>
      </c>
      <c r="Z160" s="115">
        <f>28+10.8+63+3.5+50</f>
        <v>155.30000000000001</v>
      </c>
      <c r="AA160" s="116">
        <f t="shared" si="156"/>
        <v>6</v>
      </c>
      <c r="AB160" s="116">
        <v>7.2</v>
      </c>
      <c r="AC160" s="116">
        <f t="shared" si="192"/>
        <v>1118.1600000000001</v>
      </c>
      <c r="AD160" s="116">
        <v>0</v>
      </c>
      <c r="AE160" s="116">
        <f t="shared" si="157"/>
        <v>4.666666666666667</v>
      </c>
      <c r="AF160" s="116">
        <v>5.6</v>
      </c>
      <c r="AG160" s="116">
        <f t="shared" si="193"/>
        <v>0</v>
      </c>
      <c r="AH160" s="117">
        <v>0</v>
      </c>
      <c r="AI160" s="116">
        <f t="shared" si="158"/>
        <v>8.3333333333333339</v>
      </c>
      <c r="AJ160" s="116">
        <v>10</v>
      </c>
      <c r="AK160" s="116">
        <f t="shared" si="194"/>
        <v>0</v>
      </c>
      <c r="AL160" s="117">
        <v>8</v>
      </c>
      <c r="AM160" s="116">
        <f t="shared" si="159"/>
        <v>12.750000000000002</v>
      </c>
      <c r="AN160" s="116">
        <v>15.3</v>
      </c>
      <c r="AO160" s="116">
        <f t="shared" si="195"/>
        <v>122.4</v>
      </c>
      <c r="AP160" s="116">
        <f t="shared" si="160"/>
        <v>7162.1333333333332</v>
      </c>
      <c r="AQ160" s="116">
        <f t="shared" si="186"/>
        <v>8594.56</v>
      </c>
      <c r="AR160" s="117">
        <v>0</v>
      </c>
      <c r="AS160" s="116" t="s">
        <v>210</v>
      </c>
      <c r="AT160" s="118">
        <v>0</v>
      </c>
      <c r="AU160" s="118">
        <f t="shared" si="161"/>
        <v>6.1000000000000005</v>
      </c>
      <c r="AV160" s="144">
        <v>7.32</v>
      </c>
      <c r="AW160" s="118">
        <f t="shared" si="196"/>
        <v>0</v>
      </c>
      <c r="AX160" s="118">
        <f t="shared" si="198"/>
        <v>0</v>
      </c>
      <c r="AY160" s="119">
        <f t="shared" si="185"/>
        <v>7162.1333333333332</v>
      </c>
      <c r="AZ160" s="120">
        <f t="shared" si="185"/>
        <v>8594.56</v>
      </c>
      <c r="BA160" s="9"/>
      <c r="BB160" s="9"/>
      <c r="BC160" s="9"/>
      <c r="BD160" s="9"/>
      <c r="BE160" s="37"/>
      <c r="BF160" s="37"/>
      <c r="BG160" s="35"/>
      <c r="BH160" s="35"/>
      <c r="BI160" s="35"/>
      <c r="BJ160" s="35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/>
      <c r="BY160" s="35"/>
      <c r="BZ160" s="35"/>
      <c r="CA160" s="35"/>
      <c r="CB160" s="35"/>
      <c r="CC160" s="35"/>
      <c r="CD160" s="35"/>
      <c r="CE160" s="35"/>
      <c r="CF160" s="35"/>
      <c r="CG160" s="35"/>
      <c r="CH160" s="35"/>
      <c r="CI160" s="35"/>
      <c r="CJ160" s="35"/>
      <c r="CK160" s="35"/>
      <c r="CL160" s="35"/>
      <c r="CM160" s="35"/>
      <c r="CN160" s="35"/>
      <c r="CO160" s="35"/>
    </row>
    <row r="161" spans="1:93" s="4" customFormat="1" ht="274.5" outlineLevel="1" x14ac:dyDescent="0.25">
      <c r="A161" s="111">
        <f t="shared" si="199"/>
        <v>118</v>
      </c>
      <c r="B161" s="112" t="s">
        <v>199</v>
      </c>
      <c r="C161" s="113" t="s">
        <v>171</v>
      </c>
      <c r="D161" s="114" t="s">
        <v>19</v>
      </c>
      <c r="E161" s="115">
        <f t="shared" si="151"/>
        <v>622.09999999999991</v>
      </c>
      <c r="F161" s="116">
        <v>0</v>
      </c>
      <c r="G161" s="116">
        <f t="shared" si="152"/>
        <v>16.666666666666668</v>
      </c>
      <c r="H161" s="116">
        <v>20</v>
      </c>
      <c r="I161" s="116">
        <f t="shared" si="187"/>
        <v>0</v>
      </c>
      <c r="J161" s="115">
        <v>41.2</v>
      </c>
      <c r="K161" s="116">
        <f t="shared" si="153"/>
        <v>12.916666666666668</v>
      </c>
      <c r="L161" s="116">
        <v>15.5</v>
      </c>
      <c r="M161" s="116">
        <f t="shared" si="188"/>
        <v>638.6</v>
      </c>
      <c r="N161" s="117">
        <v>407.2</v>
      </c>
      <c r="O161" s="116">
        <f t="shared" si="154"/>
        <v>4.666666666666667</v>
      </c>
      <c r="P161" s="116">
        <v>5.6</v>
      </c>
      <c r="Q161" s="116">
        <f t="shared" si="189"/>
        <v>2280.3199999999997</v>
      </c>
      <c r="R161" s="115">
        <v>0</v>
      </c>
      <c r="S161" s="116">
        <f t="shared" si="162"/>
        <v>15.583333333333334</v>
      </c>
      <c r="T161" s="116">
        <v>18.7</v>
      </c>
      <c r="U161" s="116">
        <f t="shared" si="190"/>
        <v>0</v>
      </c>
      <c r="V161" s="116">
        <v>33.9</v>
      </c>
      <c r="W161" s="116">
        <f t="shared" si="155"/>
        <v>6.416666666666667</v>
      </c>
      <c r="X161" s="116">
        <v>7.7</v>
      </c>
      <c r="Y161" s="116">
        <f t="shared" si="191"/>
        <v>261.02999999999997</v>
      </c>
      <c r="Z161" s="115">
        <v>125.1</v>
      </c>
      <c r="AA161" s="116">
        <f t="shared" si="156"/>
        <v>6</v>
      </c>
      <c r="AB161" s="116">
        <v>7.2</v>
      </c>
      <c r="AC161" s="116">
        <f t="shared" si="192"/>
        <v>900.72</v>
      </c>
      <c r="AD161" s="116">
        <v>0</v>
      </c>
      <c r="AE161" s="116">
        <f t="shared" si="157"/>
        <v>4.666666666666667</v>
      </c>
      <c r="AF161" s="116">
        <v>5.6</v>
      </c>
      <c r="AG161" s="116">
        <f t="shared" si="193"/>
        <v>0</v>
      </c>
      <c r="AH161" s="117">
        <v>11.3</v>
      </c>
      <c r="AI161" s="116">
        <f t="shared" si="158"/>
        <v>8.3333333333333339</v>
      </c>
      <c r="AJ161" s="116">
        <v>10</v>
      </c>
      <c r="AK161" s="116">
        <f t="shared" si="194"/>
        <v>113</v>
      </c>
      <c r="AL161" s="117">
        <v>3.4</v>
      </c>
      <c r="AM161" s="116">
        <f t="shared" si="159"/>
        <v>12.750000000000002</v>
      </c>
      <c r="AN161" s="116">
        <v>15.3</v>
      </c>
      <c r="AO161" s="116">
        <f t="shared" si="195"/>
        <v>52.02</v>
      </c>
      <c r="AP161" s="116">
        <f t="shared" si="160"/>
        <v>3538.0750000000007</v>
      </c>
      <c r="AQ161" s="116">
        <f t="shared" si="186"/>
        <v>4245.6900000000005</v>
      </c>
      <c r="AR161" s="117">
        <v>0</v>
      </c>
      <c r="AS161" s="116" t="s">
        <v>210</v>
      </c>
      <c r="AT161" s="118">
        <v>0</v>
      </c>
      <c r="AU161" s="118">
        <f t="shared" si="161"/>
        <v>6.1000000000000005</v>
      </c>
      <c r="AV161" s="144">
        <v>7.32</v>
      </c>
      <c r="AW161" s="118">
        <f t="shared" si="196"/>
        <v>0</v>
      </c>
      <c r="AX161" s="118">
        <f t="shared" si="198"/>
        <v>0</v>
      </c>
      <c r="AY161" s="119">
        <f t="shared" si="185"/>
        <v>3538.0750000000007</v>
      </c>
      <c r="AZ161" s="120">
        <f t="shared" si="185"/>
        <v>4245.6900000000005</v>
      </c>
      <c r="BA161" s="9"/>
      <c r="BB161" s="9"/>
      <c r="BC161" s="9"/>
      <c r="BD161" s="9"/>
      <c r="BE161" s="37"/>
      <c r="BF161" s="37"/>
      <c r="BG161" s="35"/>
      <c r="BH161" s="35"/>
      <c r="BI161" s="35"/>
      <c r="BJ161" s="35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/>
      <c r="BY161" s="35"/>
      <c r="BZ161" s="35"/>
      <c r="CA161" s="35"/>
      <c r="CB161" s="35"/>
      <c r="CC161" s="35"/>
      <c r="CD161" s="35"/>
      <c r="CE161" s="35"/>
      <c r="CF161" s="35"/>
      <c r="CG161" s="35"/>
      <c r="CH161" s="35"/>
      <c r="CI161" s="35"/>
      <c r="CJ161" s="35"/>
      <c r="CK161" s="35"/>
      <c r="CL161" s="35"/>
      <c r="CM161" s="35"/>
      <c r="CN161" s="35"/>
      <c r="CO161" s="35"/>
    </row>
    <row r="162" spans="1:93" s="4" customFormat="1" ht="320.25" outlineLevel="1" x14ac:dyDescent="0.25">
      <c r="A162" s="111">
        <f t="shared" si="199"/>
        <v>119</v>
      </c>
      <c r="B162" s="112" t="s">
        <v>199</v>
      </c>
      <c r="C162" s="113" t="s">
        <v>198</v>
      </c>
      <c r="D162" s="114" t="s">
        <v>19</v>
      </c>
      <c r="E162" s="115">
        <f t="shared" si="151"/>
        <v>643.9</v>
      </c>
      <c r="F162" s="116">
        <v>0</v>
      </c>
      <c r="G162" s="116">
        <f t="shared" si="152"/>
        <v>16.666666666666668</v>
      </c>
      <c r="H162" s="116">
        <v>20</v>
      </c>
      <c r="I162" s="116">
        <f t="shared" si="187"/>
        <v>0</v>
      </c>
      <c r="J162" s="115">
        <v>17.600000000000001</v>
      </c>
      <c r="K162" s="116">
        <f t="shared" si="153"/>
        <v>12.916666666666668</v>
      </c>
      <c r="L162" s="116">
        <v>15.5</v>
      </c>
      <c r="M162" s="116">
        <f t="shared" si="188"/>
        <v>272.8</v>
      </c>
      <c r="N162" s="117">
        <f>512.3-97.6</f>
        <v>414.69999999999993</v>
      </c>
      <c r="O162" s="116">
        <f t="shared" si="154"/>
        <v>4.666666666666667</v>
      </c>
      <c r="P162" s="116">
        <v>5.6</v>
      </c>
      <c r="Q162" s="116">
        <f t="shared" si="189"/>
        <v>2322.3199999999993</v>
      </c>
      <c r="R162" s="115">
        <v>0</v>
      </c>
      <c r="S162" s="116">
        <f t="shared" si="162"/>
        <v>15.583333333333334</v>
      </c>
      <c r="T162" s="116">
        <v>18.7</v>
      </c>
      <c r="U162" s="116">
        <f t="shared" si="190"/>
        <v>0</v>
      </c>
      <c r="V162" s="116">
        <v>53.2</v>
      </c>
      <c r="W162" s="116">
        <f t="shared" si="155"/>
        <v>6.416666666666667</v>
      </c>
      <c r="X162" s="116">
        <v>7.7</v>
      </c>
      <c r="Y162" s="116">
        <f t="shared" si="191"/>
        <v>409.64000000000004</v>
      </c>
      <c r="Z162" s="115">
        <v>152.19999999999999</v>
      </c>
      <c r="AA162" s="116">
        <f t="shared" si="156"/>
        <v>6</v>
      </c>
      <c r="AB162" s="116">
        <v>7.2</v>
      </c>
      <c r="AC162" s="116">
        <f t="shared" si="192"/>
        <v>1095.8399999999999</v>
      </c>
      <c r="AD162" s="116">
        <v>0</v>
      </c>
      <c r="AE162" s="116">
        <f t="shared" si="157"/>
        <v>4.666666666666667</v>
      </c>
      <c r="AF162" s="116">
        <v>5.6</v>
      </c>
      <c r="AG162" s="116">
        <f t="shared" si="193"/>
        <v>0</v>
      </c>
      <c r="AH162" s="117">
        <v>0</v>
      </c>
      <c r="AI162" s="116">
        <f t="shared" si="158"/>
        <v>8.3333333333333339</v>
      </c>
      <c r="AJ162" s="116">
        <v>10</v>
      </c>
      <c r="AK162" s="116">
        <f t="shared" si="194"/>
        <v>0</v>
      </c>
      <c r="AL162" s="117">
        <v>6.2</v>
      </c>
      <c r="AM162" s="116">
        <f t="shared" si="159"/>
        <v>12.750000000000002</v>
      </c>
      <c r="AN162" s="116">
        <v>15.3</v>
      </c>
      <c r="AO162" s="116">
        <f t="shared" si="195"/>
        <v>94.860000000000014</v>
      </c>
      <c r="AP162" s="116">
        <f t="shared" si="160"/>
        <v>3496.2166666666662</v>
      </c>
      <c r="AQ162" s="116">
        <f t="shared" si="186"/>
        <v>4195.4599999999991</v>
      </c>
      <c r="AR162" s="117">
        <v>0</v>
      </c>
      <c r="AS162" s="116" t="s">
        <v>210</v>
      </c>
      <c r="AT162" s="118">
        <v>0</v>
      </c>
      <c r="AU162" s="118">
        <f t="shared" si="161"/>
        <v>6.1000000000000005</v>
      </c>
      <c r="AV162" s="144">
        <v>7.32</v>
      </c>
      <c r="AW162" s="118">
        <f t="shared" si="196"/>
        <v>0</v>
      </c>
      <c r="AX162" s="118">
        <f t="shared" si="198"/>
        <v>0</v>
      </c>
      <c r="AY162" s="119">
        <f t="shared" si="185"/>
        <v>3496.2166666666662</v>
      </c>
      <c r="AZ162" s="120">
        <f t="shared" si="185"/>
        <v>4195.4599999999991</v>
      </c>
      <c r="BA162" s="9"/>
      <c r="BB162" s="9"/>
      <c r="BC162" s="9"/>
      <c r="BD162" s="9"/>
      <c r="BE162" s="37"/>
      <c r="BF162" s="37"/>
      <c r="BG162" s="35"/>
      <c r="BH162" s="35"/>
      <c r="BI162" s="35"/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/>
      <c r="BY162" s="35"/>
      <c r="BZ162" s="35"/>
      <c r="CA162" s="35"/>
      <c r="CB162" s="35"/>
      <c r="CC162" s="35"/>
      <c r="CD162" s="35"/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</row>
    <row r="163" spans="1:93" s="4" customFormat="1" ht="320.25" outlineLevel="1" x14ac:dyDescent="0.25">
      <c r="A163" s="111">
        <f t="shared" si="199"/>
        <v>120</v>
      </c>
      <c r="B163" s="112" t="s">
        <v>199</v>
      </c>
      <c r="C163" s="113" t="s">
        <v>172</v>
      </c>
      <c r="D163" s="114" t="s">
        <v>19</v>
      </c>
      <c r="E163" s="115">
        <f t="shared" si="151"/>
        <v>860.7</v>
      </c>
      <c r="F163" s="116">
        <v>0</v>
      </c>
      <c r="G163" s="116">
        <f t="shared" si="152"/>
        <v>16.666666666666668</v>
      </c>
      <c r="H163" s="116">
        <v>20</v>
      </c>
      <c r="I163" s="116">
        <f t="shared" si="187"/>
        <v>0</v>
      </c>
      <c r="J163" s="115">
        <v>23.9</v>
      </c>
      <c r="K163" s="116">
        <f t="shared" si="153"/>
        <v>12.916666666666668</v>
      </c>
      <c r="L163" s="116">
        <v>15.5</v>
      </c>
      <c r="M163" s="116">
        <f t="shared" si="188"/>
        <v>370.45</v>
      </c>
      <c r="N163" s="117">
        <f>570-11.6</f>
        <v>558.4</v>
      </c>
      <c r="O163" s="116">
        <f t="shared" si="154"/>
        <v>4.666666666666667</v>
      </c>
      <c r="P163" s="116">
        <v>5.6</v>
      </c>
      <c r="Q163" s="116">
        <f t="shared" si="189"/>
        <v>3127.0399999999995</v>
      </c>
      <c r="R163" s="115">
        <v>0</v>
      </c>
      <c r="S163" s="116">
        <f t="shared" si="162"/>
        <v>15.583333333333334</v>
      </c>
      <c r="T163" s="116">
        <v>18.7</v>
      </c>
      <c r="U163" s="116">
        <f t="shared" si="190"/>
        <v>0</v>
      </c>
      <c r="V163" s="116">
        <f>74+13.7</f>
        <v>87.7</v>
      </c>
      <c r="W163" s="116">
        <f t="shared" si="155"/>
        <v>6.416666666666667</v>
      </c>
      <c r="X163" s="116">
        <v>7.7</v>
      </c>
      <c r="Y163" s="116">
        <f t="shared" si="191"/>
        <v>675.29000000000008</v>
      </c>
      <c r="Z163" s="115">
        <v>128.19999999999999</v>
      </c>
      <c r="AA163" s="116">
        <f t="shared" si="156"/>
        <v>6</v>
      </c>
      <c r="AB163" s="116">
        <v>7.2</v>
      </c>
      <c r="AC163" s="116">
        <f t="shared" si="192"/>
        <v>923.04</v>
      </c>
      <c r="AD163" s="116">
        <v>0</v>
      </c>
      <c r="AE163" s="116">
        <f t="shared" si="157"/>
        <v>4.666666666666667</v>
      </c>
      <c r="AF163" s="116">
        <v>5.6</v>
      </c>
      <c r="AG163" s="116">
        <f t="shared" si="193"/>
        <v>0</v>
      </c>
      <c r="AH163" s="117">
        <v>58.2</v>
      </c>
      <c r="AI163" s="116">
        <f t="shared" si="158"/>
        <v>8.3333333333333339</v>
      </c>
      <c r="AJ163" s="116">
        <v>10</v>
      </c>
      <c r="AK163" s="116">
        <f t="shared" si="194"/>
        <v>582</v>
      </c>
      <c r="AL163" s="117">
        <v>4.3</v>
      </c>
      <c r="AM163" s="116">
        <f t="shared" si="159"/>
        <v>12.750000000000002</v>
      </c>
      <c r="AN163" s="116">
        <v>15.3</v>
      </c>
      <c r="AO163" s="116">
        <f t="shared" si="195"/>
        <v>65.790000000000006</v>
      </c>
      <c r="AP163" s="116">
        <f t="shared" si="160"/>
        <v>4786.3416666666662</v>
      </c>
      <c r="AQ163" s="116">
        <f t="shared" si="186"/>
        <v>5743.61</v>
      </c>
      <c r="AR163" s="117">
        <v>0</v>
      </c>
      <c r="AS163" s="116" t="s">
        <v>210</v>
      </c>
      <c r="AT163" s="118">
        <v>0</v>
      </c>
      <c r="AU163" s="118">
        <f t="shared" si="161"/>
        <v>6.1000000000000005</v>
      </c>
      <c r="AV163" s="144">
        <v>7.32</v>
      </c>
      <c r="AW163" s="118">
        <f t="shared" si="196"/>
        <v>0</v>
      </c>
      <c r="AX163" s="118">
        <f t="shared" si="198"/>
        <v>0</v>
      </c>
      <c r="AY163" s="119">
        <f t="shared" si="185"/>
        <v>4786.3416666666662</v>
      </c>
      <c r="AZ163" s="120">
        <f t="shared" si="185"/>
        <v>5743.61</v>
      </c>
      <c r="BA163" s="9"/>
      <c r="BB163" s="9"/>
      <c r="BC163" s="9"/>
      <c r="BD163" s="9"/>
      <c r="BE163" s="37"/>
      <c r="BF163" s="37"/>
      <c r="BG163" s="35"/>
      <c r="BH163" s="35"/>
      <c r="BI163" s="35"/>
      <c r="BJ163" s="35"/>
      <c r="BK163" s="35"/>
      <c r="BL163" s="35"/>
      <c r="BM163" s="35"/>
      <c r="BN163" s="35"/>
      <c r="BO163" s="35"/>
      <c r="BP163" s="35"/>
      <c r="BQ163" s="35"/>
      <c r="BR163" s="35"/>
      <c r="BS163" s="35"/>
      <c r="BT163" s="35"/>
      <c r="BU163" s="35"/>
      <c r="BV163" s="35"/>
      <c r="BW163" s="35"/>
      <c r="BX163" s="35"/>
      <c r="BY163" s="35"/>
      <c r="BZ163" s="35"/>
      <c r="CA163" s="35"/>
      <c r="CB163" s="35"/>
      <c r="CC163" s="35"/>
      <c r="CD163" s="35"/>
      <c r="CE163" s="35"/>
      <c r="CF163" s="35"/>
      <c r="CG163" s="35"/>
      <c r="CH163" s="35"/>
      <c r="CI163" s="35"/>
      <c r="CJ163" s="35"/>
      <c r="CK163" s="35"/>
      <c r="CL163" s="35"/>
      <c r="CM163" s="35"/>
      <c r="CN163" s="35"/>
      <c r="CO163" s="35"/>
    </row>
    <row r="164" spans="1:93" s="4" customFormat="1" ht="366" outlineLevel="1" x14ac:dyDescent="0.25">
      <c r="A164" s="111">
        <f t="shared" si="199"/>
        <v>121</v>
      </c>
      <c r="B164" s="112" t="s">
        <v>199</v>
      </c>
      <c r="C164" s="113" t="s">
        <v>173</v>
      </c>
      <c r="D164" s="114" t="s">
        <v>19</v>
      </c>
      <c r="E164" s="115">
        <f t="shared" si="151"/>
        <v>817.99</v>
      </c>
      <c r="F164" s="116">
        <v>0</v>
      </c>
      <c r="G164" s="116">
        <f t="shared" si="152"/>
        <v>16.666666666666668</v>
      </c>
      <c r="H164" s="116">
        <v>20</v>
      </c>
      <c r="I164" s="116">
        <f t="shared" si="187"/>
        <v>0</v>
      </c>
      <c r="J164" s="115">
        <f>20.58+56.5</f>
        <v>77.08</v>
      </c>
      <c r="K164" s="116">
        <f t="shared" si="153"/>
        <v>12.916666666666668</v>
      </c>
      <c r="L164" s="116">
        <v>15.5</v>
      </c>
      <c r="M164" s="116">
        <f t="shared" si="188"/>
        <v>1194.74</v>
      </c>
      <c r="N164" s="117">
        <f>566.8-11.6</f>
        <v>555.19999999999993</v>
      </c>
      <c r="O164" s="116">
        <f t="shared" si="154"/>
        <v>4.666666666666667</v>
      </c>
      <c r="P164" s="116">
        <v>5.6</v>
      </c>
      <c r="Q164" s="116">
        <f t="shared" si="189"/>
        <v>3109.1199999999994</v>
      </c>
      <c r="R164" s="115">
        <v>0</v>
      </c>
      <c r="S164" s="116">
        <f t="shared" si="162"/>
        <v>15.583333333333334</v>
      </c>
      <c r="T164" s="116">
        <v>18.7</v>
      </c>
      <c r="U164" s="116">
        <f t="shared" si="190"/>
        <v>0</v>
      </c>
      <c r="V164" s="116">
        <v>53.9</v>
      </c>
      <c r="W164" s="116">
        <f t="shared" si="155"/>
        <v>6.416666666666667</v>
      </c>
      <c r="X164" s="116">
        <v>7.7</v>
      </c>
      <c r="Y164" s="116">
        <f t="shared" si="191"/>
        <v>415.03</v>
      </c>
      <c r="Z164" s="115">
        <v>118.11</v>
      </c>
      <c r="AA164" s="116">
        <f t="shared" si="156"/>
        <v>6</v>
      </c>
      <c r="AB164" s="116">
        <v>7.2</v>
      </c>
      <c r="AC164" s="116">
        <f t="shared" si="192"/>
        <v>850.39200000000005</v>
      </c>
      <c r="AD164" s="116">
        <v>0</v>
      </c>
      <c r="AE164" s="116">
        <f t="shared" si="157"/>
        <v>4.666666666666667</v>
      </c>
      <c r="AF164" s="116">
        <v>5.6</v>
      </c>
      <c r="AG164" s="116">
        <f t="shared" si="193"/>
        <v>0</v>
      </c>
      <c r="AH164" s="117">
        <v>0</v>
      </c>
      <c r="AI164" s="116">
        <f t="shared" si="158"/>
        <v>8.3333333333333339</v>
      </c>
      <c r="AJ164" s="116">
        <v>10</v>
      </c>
      <c r="AK164" s="116">
        <f t="shared" si="194"/>
        <v>0</v>
      </c>
      <c r="AL164" s="117">
        <v>13.7</v>
      </c>
      <c r="AM164" s="116">
        <f t="shared" si="159"/>
        <v>12.750000000000002</v>
      </c>
      <c r="AN164" s="116">
        <v>15.3</v>
      </c>
      <c r="AO164" s="116">
        <f t="shared" si="195"/>
        <v>209.60999999999999</v>
      </c>
      <c r="AP164" s="116">
        <f t="shared" si="160"/>
        <v>4815.7433333333329</v>
      </c>
      <c r="AQ164" s="116">
        <f t="shared" si="186"/>
        <v>5778.8919999999989</v>
      </c>
      <c r="AR164" s="117">
        <v>0</v>
      </c>
      <c r="AS164" s="116" t="s">
        <v>210</v>
      </c>
      <c r="AT164" s="118">
        <v>0</v>
      </c>
      <c r="AU164" s="118">
        <f t="shared" si="161"/>
        <v>6.1000000000000005</v>
      </c>
      <c r="AV164" s="144">
        <v>7.32</v>
      </c>
      <c r="AW164" s="118">
        <f t="shared" si="196"/>
        <v>0</v>
      </c>
      <c r="AX164" s="118">
        <f t="shared" si="198"/>
        <v>0</v>
      </c>
      <c r="AY164" s="119">
        <f t="shared" si="185"/>
        <v>4815.7433333333329</v>
      </c>
      <c r="AZ164" s="120">
        <f t="shared" si="185"/>
        <v>5778.8919999999989</v>
      </c>
      <c r="BA164" s="9"/>
      <c r="BB164" s="9"/>
      <c r="BC164" s="9"/>
      <c r="BD164" s="9"/>
      <c r="BE164" s="37"/>
      <c r="BF164" s="37"/>
      <c r="BG164" s="35"/>
      <c r="BH164" s="35"/>
      <c r="BI164" s="35"/>
      <c r="BJ164" s="35"/>
      <c r="BK164" s="35"/>
      <c r="BL164" s="35"/>
      <c r="BM164" s="35"/>
      <c r="BN164" s="35"/>
      <c r="BO164" s="35"/>
      <c r="BP164" s="35"/>
      <c r="BQ164" s="35"/>
      <c r="BR164" s="35"/>
      <c r="BS164" s="35"/>
      <c r="BT164" s="35"/>
      <c r="BU164" s="35"/>
      <c r="BV164" s="35"/>
      <c r="BW164" s="35"/>
      <c r="BX164" s="35"/>
      <c r="BY164" s="35"/>
      <c r="BZ164" s="35"/>
      <c r="CA164" s="35"/>
      <c r="CB164" s="35"/>
      <c r="CC164" s="35"/>
      <c r="CD164" s="35"/>
      <c r="CE164" s="35"/>
      <c r="CF164" s="35"/>
      <c r="CG164" s="35"/>
      <c r="CH164" s="35"/>
      <c r="CI164" s="35"/>
      <c r="CJ164" s="35"/>
      <c r="CK164" s="35"/>
      <c r="CL164" s="35"/>
      <c r="CM164" s="35"/>
      <c r="CN164" s="35"/>
      <c r="CO164" s="35"/>
    </row>
    <row r="165" spans="1:93" s="4" customFormat="1" ht="366" outlineLevel="1" x14ac:dyDescent="0.25">
      <c r="A165" s="111">
        <f t="shared" si="199"/>
        <v>122</v>
      </c>
      <c r="B165" s="112" t="s">
        <v>199</v>
      </c>
      <c r="C165" s="113" t="s">
        <v>174</v>
      </c>
      <c r="D165" s="114" t="s">
        <v>19</v>
      </c>
      <c r="E165" s="115">
        <f t="shared" si="151"/>
        <v>655.8</v>
      </c>
      <c r="F165" s="116">
        <v>0</v>
      </c>
      <c r="G165" s="116">
        <f t="shared" si="152"/>
        <v>16.666666666666668</v>
      </c>
      <c r="H165" s="116">
        <v>20</v>
      </c>
      <c r="I165" s="116">
        <f t="shared" si="187"/>
        <v>0</v>
      </c>
      <c r="J165" s="115">
        <f>40.3</f>
        <v>40.299999999999997</v>
      </c>
      <c r="K165" s="116">
        <f t="shared" si="153"/>
        <v>12.916666666666668</v>
      </c>
      <c r="L165" s="116">
        <v>15.5</v>
      </c>
      <c r="M165" s="116">
        <f t="shared" si="188"/>
        <v>624.65</v>
      </c>
      <c r="N165" s="117">
        <f>41.1+172.1+28.6+55.8+85.1</f>
        <v>382.69999999999993</v>
      </c>
      <c r="O165" s="116">
        <f t="shared" si="154"/>
        <v>4.666666666666667</v>
      </c>
      <c r="P165" s="116">
        <v>5.6</v>
      </c>
      <c r="Q165" s="116">
        <f t="shared" si="189"/>
        <v>2143.1199999999994</v>
      </c>
      <c r="R165" s="115">
        <v>0</v>
      </c>
      <c r="S165" s="116">
        <f t="shared" si="162"/>
        <v>15.583333333333334</v>
      </c>
      <c r="T165" s="116">
        <v>18.7</v>
      </c>
      <c r="U165" s="116">
        <f t="shared" si="190"/>
        <v>0</v>
      </c>
      <c r="V165" s="116">
        <f>8.5+32.5+35.8+5</f>
        <v>81.8</v>
      </c>
      <c r="W165" s="116">
        <f t="shared" si="155"/>
        <v>6.416666666666667</v>
      </c>
      <c r="X165" s="116">
        <v>7.7</v>
      </c>
      <c r="Y165" s="116">
        <f t="shared" si="191"/>
        <v>629.86</v>
      </c>
      <c r="Z165" s="115">
        <f>21.7+13.9+25.1+4.7+2.8+6.8+19.6+15.4+19.4</f>
        <v>129.4</v>
      </c>
      <c r="AA165" s="116">
        <f t="shared" si="156"/>
        <v>6</v>
      </c>
      <c r="AB165" s="116">
        <v>7.2</v>
      </c>
      <c r="AC165" s="116">
        <f t="shared" si="192"/>
        <v>931.68000000000006</v>
      </c>
      <c r="AD165" s="116">
        <v>0</v>
      </c>
      <c r="AE165" s="116">
        <f t="shared" si="157"/>
        <v>4.666666666666667</v>
      </c>
      <c r="AF165" s="116">
        <v>5.6</v>
      </c>
      <c r="AG165" s="116">
        <f t="shared" si="193"/>
        <v>0</v>
      </c>
      <c r="AH165" s="117">
        <v>17.600000000000001</v>
      </c>
      <c r="AI165" s="116">
        <f t="shared" si="158"/>
        <v>8.3333333333333339</v>
      </c>
      <c r="AJ165" s="116">
        <v>10</v>
      </c>
      <c r="AK165" s="116">
        <f t="shared" si="194"/>
        <v>176</v>
      </c>
      <c r="AL165" s="117">
        <f>4</f>
        <v>4</v>
      </c>
      <c r="AM165" s="116">
        <f t="shared" si="159"/>
        <v>12.750000000000002</v>
      </c>
      <c r="AN165" s="116">
        <v>15.3</v>
      </c>
      <c r="AO165" s="116">
        <f t="shared" si="195"/>
        <v>61.2</v>
      </c>
      <c r="AP165" s="116">
        <f t="shared" si="160"/>
        <v>3805.4249999999997</v>
      </c>
      <c r="AQ165" s="116">
        <f t="shared" si="186"/>
        <v>4566.5099999999993</v>
      </c>
      <c r="AR165" s="117">
        <v>0</v>
      </c>
      <c r="AS165" s="116" t="s">
        <v>210</v>
      </c>
      <c r="AT165" s="118">
        <v>0</v>
      </c>
      <c r="AU165" s="118">
        <f t="shared" si="161"/>
        <v>6.1000000000000005</v>
      </c>
      <c r="AV165" s="144">
        <v>7.32</v>
      </c>
      <c r="AW165" s="118">
        <f t="shared" si="196"/>
        <v>0</v>
      </c>
      <c r="AX165" s="118">
        <f t="shared" si="198"/>
        <v>0</v>
      </c>
      <c r="AY165" s="119">
        <f t="shared" si="185"/>
        <v>3805.4249999999997</v>
      </c>
      <c r="AZ165" s="120">
        <f t="shared" si="185"/>
        <v>4566.5099999999993</v>
      </c>
      <c r="BA165" s="9"/>
      <c r="BB165" s="9"/>
      <c r="BC165" s="9"/>
      <c r="BD165" s="9"/>
      <c r="BE165" s="37"/>
      <c r="BF165" s="37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</row>
    <row r="166" spans="1:93" s="4" customFormat="1" ht="409.5" outlineLevel="1" x14ac:dyDescent="0.25">
      <c r="A166" s="111">
        <f t="shared" si="199"/>
        <v>123</v>
      </c>
      <c r="B166" s="112" t="s">
        <v>199</v>
      </c>
      <c r="C166" s="134" t="s">
        <v>175</v>
      </c>
      <c r="D166" s="135" t="s">
        <v>19</v>
      </c>
      <c r="E166" s="115">
        <f t="shared" si="151"/>
        <v>576.4</v>
      </c>
      <c r="F166" s="136">
        <v>0</v>
      </c>
      <c r="G166" s="116">
        <f t="shared" si="152"/>
        <v>16.666666666666668</v>
      </c>
      <c r="H166" s="116">
        <v>20</v>
      </c>
      <c r="I166" s="136">
        <f t="shared" si="187"/>
        <v>0</v>
      </c>
      <c r="J166" s="137">
        <v>15.5</v>
      </c>
      <c r="K166" s="116">
        <f t="shared" si="153"/>
        <v>12.916666666666668</v>
      </c>
      <c r="L166" s="116">
        <v>15.5</v>
      </c>
      <c r="M166" s="136">
        <f t="shared" si="188"/>
        <v>240.25</v>
      </c>
      <c r="N166" s="138">
        <v>376.9</v>
      </c>
      <c r="O166" s="116">
        <f t="shared" si="154"/>
        <v>4.666666666666667</v>
      </c>
      <c r="P166" s="116">
        <v>5.6</v>
      </c>
      <c r="Q166" s="136">
        <f t="shared" si="189"/>
        <v>2110.64</v>
      </c>
      <c r="R166" s="137">
        <v>0</v>
      </c>
      <c r="S166" s="116">
        <f t="shared" si="162"/>
        <v>15.583333333333334</v>
      </c>
      <c r="T166" s="116">
        <v>18.7</v>
      </c>
      <c r="U166" s="136">
        <f t="shared" si="190"/>
        <v>0</v>
      </c>
      <c r="V166" s="136">
        <v>0</v>
      </c>
      <c r="W166" s="116">
        <f t="shared" si="155"/>
        <v>6.416666666666667</v>
      </c>
      <c r="X166" s="116">
        <v>7.7</v>
      </c>
      <c r="Y166" s="136">
        <f t="shared" si="191"/>
        <v>0</v>
      </c>
      <c r="Z166" s="137">
        <v>75.099999999999994</v>
      </c>
      <c r="AA166" s="116">
        <f t="shared" si="156"/>
        <v>6</v>
      </c>
      <c r="AB166" s="116">
        <v>7.2</v>
      </c>
      <c r="AC166" s="136">
        <f t="shared" si="192"/>
        <v>540.72</v>
      </c>
      <c r="AD166" s="136">
        <v>0</v>
      </c>
      <c r="AE166" s="116">
        <f t="shared" si="157"/>
        <v>4.666666666666667</v>
      </c>
      <c r="AF166" s="116">
        <v>5.6</v>
      </c>
      <c r="AG166" s="136">
        <f t="shared" si="193"/>
        <v>0</v>
      </c>
      <c r="AH166" s="138">
        <v>103.3</v>
      </c>
      <c r="AI166" s="116">
        <f t="shared" si="158"/>
        <v>8.3333333333333339</v>
      </c>
      <c r="AJ166" s="116">
        <v>10</v>
      </c>
      <c r="AK166" s="136">
        <f t="shared" si="194"/>
        <v>1033</v>
      </c>
      <c r="AL166" s="138">
        <v>5.6</v>
      </c>
      <c r="AM166" s="116">
        <f t="shared" si="159"/>
        <v>12.750000000000002</v>
      </c>
      <c r="AN166" s="116">
        <v>15.3</v>
      </c>
      <c r="AO166" s="136">
        <f t="shared" si="195"/>
        <v>85.679999999999993</v>
      </c>
      <c r="AP166" s="116">
        <f t="shared" si="160"/>
        <v>3341.9083333333328</v>
      </c>
      <c r="AQ166" s="116">
        <f t="shared" si="186"/>
        <v>4010.2899999999995</v>
      </c>
      <c r="AR166" s="138">
        <v>0</v>
      </c>
      <c r="AS166" s="116" t="s">
        <v>210</v>
      </c>
      <c r="AT166" s="118">
        <v>0</v>
      </c>
      <c r="AU166" s="118">
        <f t="shared" si="161"/>
        <v>6.1000000000000005</v>
      </c>
      <c r="AV166" s="144">
        <v>7.32</v>
      </c>
      <c r="AW166" s="139">
        <f t="shared" si="196"/>
        <v>0</v>
      </c>
      <c r="AX166" s="139">
        <f t="shared" si="198"/>
        <v>0</v>
      </c>
      <c r="AY166" s="119">
        <f t="shared" si="185"/>
        <v>3341.9083333333328</v>
      </c>
      <c r="AZ166" s="120">
        <f t="shared" si="185"/>
        <v>4010.2899999999995</v>
      </c>
      <c r="BA166" s="9"/>
      <c r="BB166" s="9"/>
      <c r="BC166" s="9"/>
      <c r="BD166" s="9"/>
      <c r="BE166" s="37"/>
      <c r="BF166" s="37"/>
      <c r="BG166" s="35"/>
      <c r="BH166" s="35"/>
      <c r="BI166" s="35"/>
      <c r="BJ166" s="35"/>
      <c r="BK166" s="35"/>
      <c r="BL166" s="35"/>
      <c r="BM166" s="35"/>
      <c r="BN166" s="35"/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  <c r="CG166" s="35"/>
      <c r="CH166" s="35"/>
      <c r="CI166" s="35"/>
      <c r="CJ166" s="35"/>
      <c r="CK166" s="35"/>
      <c r="CL166" s="35"/>
      <c r="CM166" s="35"/>
      <c r="CN166" s="35"/>
      <c r="CO166" s="35"/>
    </row>
    <row r="167" spans="1:93" s="26" customFormat="1" ht="45.75" outlineLevel="1" x14ac:dyDescent="0.3">
      <c r="A167" s="162" t="s">
        <v>67</v>
      </c>
      <c r="B167" s="163"/>
      <c r="C167" s="163"/>
      <c r="D167" s="131"/>
      <c r="E167" s="115"/>
      <c r="F167" s="131"/>
      <c r="G167" s="116"/>
      <c r="H167" s="131"/>
      <c r="I167" s="131"/>
      <c r="J167" s="131"/>
      <c r="K167" s="116"/>
      <c r="L167" s="116"/>
      <c r="M167" s="131"/>
      <c r="N167" s="131"/>
      <c r="O167" s="116"/>
      <c r="P167" s="116"/>
      <c r="Q167" s="131"/>
      <c r="R167" s="131"/>
      <c r="S167" s="116"/>
      <c r="T167" s="116"/>
      <c r="U167" s="131"/>
      <c r="V167" s="131"/>
      <c r="W167" s="116"/>
      <c r="X167" s="116"/>
      <c r="Y167" s="131"/>
      <c r="Z167" s="131"/>
      <c r="AA167" s="116"/>
      <c r="AB167" s="116"/>
      <c r="AC167" s="131"/>
      <c r="AD167" s="131"/>
      <c r="AE167" s="116"/>
      <c r="AF167" s="116"/>
      <c r="AG167" s="131"/>
      <c r="AH167" s="131"/>
      <c r="AI167" s="116"/>
      <c r="AJ167" s="116"/>
      <c r="AK167" s="131"/>
      <c r="AL167" s="131"/>
      <c r="AM167" s="116"/>
      <c r="AN167" s="116"/>
      <c r="AO167" s="131"/>
      <c r="AP167" s="116"/>
      <c r="AQ167" s="129"/>
      <c r="AR167" s="131"/>
      <c r="AS167" s="116"/>
      <c r="AT167" s="126"/>
      <c r="AU167" s="118"/>
      <c r="AV167" s="144"/>
      <c r="AW167" s="126"/>
      <c r="AX167" s="126"/>
      <c r="AY167" s="127"/>
      <c r="AZ167" s="130"/>
      <c r="BA167" s="25"/>
      <c r="BB167" s="25"/>
      <c r="BC167" s="25"/>
      <c r="BD167" s="25"/>
      <c r="BE167" s="25"/>
      <c r="BF167" s="25"/>
      <c r="CJ167" s="36"/>
      <c r="CK167" s="36"/>
      <c r="CL167" s="36"/>
      <c r="CM167" s="36"/>
      <c r="CN167" s="36"/>
      <c r="CO167" s="36"/>
    </row>
    <row r="168" spans="1:93" s="4" customFormat="1" ht="274.5" outlineLevel="1" x14ac:dyDescent="0.25">
      <c r="A168" s="111">
        <v>124</v>
      </c>
      <c r="B168" s="112" t="s">
        <v>20</v>
      </c>
      <c r="C168" s="113" t="s">
        <v>145</v>
      </c>
      <c r="D168" s="114" t="s">
        <v>19</v>
      </c>
      <c r="E168" s="115">
        <f t="shared" si="151"/>
        <v>114.6</v>
      </c>
      <c r="F168" s="116">
        <v>0</v>
      </c>
      <c r="G168" s="116">
        <f t="shared" si="152"/>
        <v>16.666666666666668</v>
      </c>
      <c r="H168" s="116">
        <v>20</v>
      </c>
      <c r="I168" s="116">
        <f t="shared" si="187"/>
        <v>0</v>
      </c>
      <c r="J168" s="115">
        <v>0</v>
      </c>
      <c r="K168" s="116">
        <f t="shared" si="153"/>
        <v>12.916666666666668</v>
      </c>
      <c r="L168" s="116">
        <v>15.5</v>
      </c>
      <c r="M168" s="116">
        <f t="shared" si="188"/>
        <v>0</v>
      </c>
      <c r="N168" s="117">
        <v>0</v>
      </c>
      <c r="O168" s="116">
        <f t="shared" si="154"/>
        <v>4.666666666666667</v>
      </c>
      <c r="P168" s="116">
        <v>5.6</v>
      </c>
      <c r="Q168" s="116">
        <f t="shared" si="189"/>
        <v>0</v>
      </c>
      <c r="R168" s="115">
        <v>114.6</v>
      </c>
      <c r="S168" s="116">
        <f t="shared" si="162"/>
        <v>15.583333333333334</v>
      </c>
      <c r="T168" s="116">
        <v>18.7</v>
      </c>
      <c r="U168" s="116">
        <f t="shared" si="190"/>
        <v>2143.02</v>
      </c>
      <c r="V168" s="116">
        <v>0</v>
      </c>
      <c r="W168" s="116">
        <f t="shared" si="155"/>
        <v>6.416666666666667</v>
      </c>
      <c r="X168" s="116">
        <v>7.7</v>
      </c>
      <c r="Y168" s="116">
        <f t="shared" si="191"/>
        <v>0</v>
      </c>
      <c r="Z168" s="115">
        <v>0</v>
      </c>
      <c r="AA168" s="116">
        <f t="shared" si="156"/>
        <v>6</v>
      </c>
      <c r="AB168" s="116">
        <v>7.2</v>
      </c>
      <c r="AC168" s="116">
        <f t="shared" si="192"/>
        <v>0</v>
      </c>
      <c r="AD168" s="116">
        <v>0</v>
      </c>
      <c r="AE168" s="116">
        <f t="shared" si="157"/>
        <v>4.666666666666667</v>
      </c>
      <c r="AF168" s="116">
        <v>5.6</v>
      </c>
      <c r="AG168" s="116">
        <f t="shared" si="193"/>
        <v>0</v>
      </c>
      <c r="AH168" s="117">
        <v>0</v>
      </c>
      <c r="AI168" s="116">
        <f t="shared" si="158"/>
        <v>8.3333333333333339</v>
      </c>
      <c r="AJ168" s="116">
        <v>10</v>
      </c>
      <c r="AK168" s="116">
        <f t="shared" si="194"/>
        <v>0</v>
      </c>
      <c r="AL168" s="117">
        <v>0</v>
      </c>
      <c r="AM168" s="116">
        <f t="shared" si="159"/>
        <v>12.750000000000002</v>
      </c>
      <c r="AN168" s="116">
        <v>15.3</v>
      </c>
      <c r="AO168" s="116">
        <f t="shared" si="195"/>
        <v>0</v>
      </c>
      <c r="AP168" s="116">
        <f t="shared" si="160"/>
        <v>1785.8500000000001</v>
      </c>
      <c r="AQ168" s="116">
        <f t="shared" si="186"/>
        <v>2143.02</v>
      </c>
      <c r="AR168" s="117">
        <v>0</v>
      </c>
      <c r="AS168" s="116" t="s">
        <v>210</v>
      </c>
      <c r="AT168" s="118">
        <v>0</v>
      </c>
      <c r="AU168" s="118">
        <f t="shared" si="161"/>
        <v>6.1000000000000005</v>
      </c>
      <c r="AV168" s="144">
        <v>7.32</v>
      </c>
      <c r="AW168" s="118">
        <f t="shared" si="196"/>
        <v>0</v>
      </c>
      <c r="AX168" s="118">
        <f t="shared" si="198"/>
        <v>0</v>
      </c>
      <c r="AY168" s="119">
        <f t="shared" si="185"/>
        <v>1785.8500000000001</v>
      </c>
      <c r="AZ168" s="120">
        <f t="shared" si="185"/>
        <v>2143.02</v>
      </c>
      <c r="BA168" s="9"/>
      <c r="BB168" s="9"/>
      <c r="BC168" s="9"/>
      <c r="BD168" s="9"/>
      <c r="BE168" s="37"/>
      <c r="BF168" s="37"/>
      <c r="BG168" s="35"/>
      <c r="BH168" s="35"/>
      <c r="BI168" s="35"/>
      <c r="BJ168" s="35"/>
      <c r="BK168" s="35"/>
      <c r="BL168" s="35"/>
      <c r="BM168" s="35"/>
      <c r="BN168" s="35"/>
      <c r="BO168" s="35"/>
      <c r="BP168" s="35"/>
      <c r="BQ168" s="35"/>
      <c r="BR168" s="35"/>
      <c r="BS168" s="35"/>
      <c r="BT168" s="35"/>
      <c r="BU168" s="35"/>
      <c r="BV168" s="35"/>
      <c r="BW168" s="35"/>
      <c r="BX168" s="35"/>
      <c r="BY168" s="35"/>
      <c r="BZ168" s="35"/>
      <c r="CA168" s="35"/>
      <c r="CB168" s="35"/>
      <c r="CC168" s="35"/>
      <c r="CD168" s="35"/>
      <c r="CE168" s="35"/>
      <c r="CF168" s="35"/>
      <c r="CG168" s="35"/>
      <c r="CH168" s="35"/>
      <c r="CI168" s="35"/>
      <c r="CJ168" s="35"/>
      <c r="CK168" s="35"/>
      <c r="CL168" s="35"/>
      <c r="CM168" s="35"/>
      <c r="CN168" s="35"/>
      <c r="CO168" s="35"/>
    </row>
    <row r="169" spans="1:93" s="4" customFormat="1" ht="228.75" outlineLevel="1" x14ac:dyDescent="0.25">
      <c r="A169" s="111">
        <v>125</v>
      </c>
      <c r="B169" s="112" t="s">
        <v>20</v>
      </c>
      <c r="C169" s="113" t="s">
        <v>146</v>
      </c>
      <c r="D169" s="114" t="s">
        <v>19</v>
      </c>
      <c r="E169" s="115">
        <f t="shared" si="151"/>
        <v>24.2</v>
      </c>
      <c r="F169" s="116">
        <v>0</v>
      </c>
      <c r="G169" s="116">
        <f t="shared" si="152"/>
        <v>16.666666666666668</v>
      </c>
      <c r="H169" s="116">
        <v>20</v>
      </c>
      <c r="I169" s="116">
        <f t="shared" si="187"/>
        <v>0</v>
      </c>
      <c r="J169" s="115">
        <v>0</v>
      </c>
      <c r="K169" s="116">
        <f t="shared" si="153"/>
        <v>12.916666666666668</v>
      </c>
      <c r="L169" s="116">
        <v>15.5</v>
      </c>
      <c r="M169" s="116">
        <f t="shared" si="188"/>
        <v>0</v>
      </c>
      <c r="N169" s="117">
        <v>0</v>
      </c>
      <c r="O169" s="116">
        <f t="shared" si="154"/>
        <v>4.666666666666667</v>
      </c>
      <c r="P169" s="116">
        <v>5.6</v>
      </c>
      <c r="Q169" s="116">
        <f t="shared" si="189"/>
        <v>0</v>
      </c>
      <c r="R169" s="115">
        <v>24.2</v>
      </c>
      <c r="S169" s="116">
        <f t="shared" si="162"/>
        <v>15.583333333333334</v>
      </c>
      <c r="T169" s="116">
        <v>18.7</v>
      </c>
      <c r="U169" s="116">
        <f t="shared" si="190"/>
        <v>452.53999999999996</v>
      </c>
      <c r="V169" s="116">
        <v>0</v>
      </c>
      <c r="W169" s="116">
        <f t="shared" si="155"/>
        <v>6.416666666666667</v>
      </c>
      <c r="X169" s="116">
        <v>7.7</v>
      </c>
      <c r="Y169" s="116">
        <f t="shared" si="191"/>
        <v>0</v>
      </c>
      <c r="Z169" s="115">
        <v>0</v>
      </c>
      <c r="AA169" s="116">
        <f t="shared" si="156"/>
        <v>6</v>
      </c>
      <c r="AB169" s="116">
        <v>7.2</v>
      </c>
      <c r="AC169" s="116">
        <f t="shared" si="192"/>
        <v>0</v>
      </c>
      <c r="AD169" s="116">
        <v>0</v>
      </c>
      <c r="AE169" s="116">
        <f t="shared" si="157"/>
        <v>4.666666666666667</v>
      </c>
      <c r="AF169" s="116">
        <v>5.6</v>
      </c>
      <c r="AG169" s="116">
        <f t="shared" si="193"/>
        <v>0</v>
      </c>
      <c r="AH169" s="117">
        <v>0</v>
      </c>
      <c r="AI169" s="116">
        <f t="shared" si="158"/>
        <v>8.3333333333333339</v>
      </c>
      <c r="AJ169" s="116">
        <v>10</v>
      </c>
      <c r="AK169" s="116">
        <f t="shared" si="194"/>
        <v>0</v>
      </c>
      <c r="AL169" s="117">
        <v>0</v>
      </c>
      <c r="AM169" s="116">
        <f t="shared" si="159"/>
        <v>12.750000000000002</v>
      </c>
      <c r="AN169" s="116">
        <v>15.3</v>
      </c>
      <c r="AO169" s="116">
        <f t="shared" si="195"/>
        <v>0</v>
      </c>
      <c r="AP169" s="116">
        <f t="shared" si="160"/>
        <v>377.11666666666667</v>
      </c>
      <c r="AQ169" s="116">
        <f t="shared" si="186"/>
        <v>452.53999999999996</v>
      </c>
      <c r="AR169" s="117">
        <v>0</v>
      </c>
      <c r="AS169" s="116" t="s">
        <v>210</v>
      </c>
      <c r="AT169" s="118">
        <v>0</v>
      </c>
      <c r="AU169" s="118">
        <f t="shared" si="161"/>
        <v>6.1000000000000005</v>
      </c>
      <c r="AV169" s="144">
        <v>7.32</v>
      </c>
      <c r="AW169" s="118">
        <f t="shared" si="196"/>
        <v>0</v>
      </c>
      <c r="AX169" s="118">
        <f t="shared" si="198"/>
        <v>0</v>
      </c>
      <c r="AY169" s="119">
        <f t="shared" si="185"/>
        <v>377.11666666666667</v>
      </c>
      <c r="AZ169" s="120">
        <f t="shared" si="185"/>
        <v>452.53999999999996</v>
      </c>
      <c r="BA169" s="9"/>
      <c r="BB169" s="9"/>
      <c r="BC169" s="9"/>
      <c r="BD169" s="9"/>
      <c r="BE169" s="37"/>
      <c r="BF169" s="37"/>
      <c r="BG169" s="35"/>
      <c r="BH169" s="35"/>
      <c r="BI169" s="35"/>
      <c r="BJ169" s="35"/>
      <c r="BK169" s="35"/>
      <c r="BL169" s="35"/>
      <c r="BM169" s="35"/>
      <c r="BN169" s="35"/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/>
      <c r="CD169" s="35"/>
      <c r="CE169" s="35"/>
      <c r="CF169" s="35"/>
      <c r="CG169" s="35"/>
      <c r="CH169" s="35"/>
      <c r="CI169" s="35"/>
      <c r="CJ169" s="35"/>
      <c r="CK169" s="35"/>
      <c r="CL169" s="35"/>
      <c r="CM169" s="35"/>
      <c r="CN169" s="35"/>
      <c r="CO169" s="35"/>
    </row>
    <row r="170" spans="1:93" s="4" customFormat="1" ht="366" outlineLevel="1" x14ac:dyDescent="0.25">
      <c r="A170" s="111">
        <v>126</v>
      </c>
      <c r="B170" s="112" t="s">
        <v>20</v>
      </c>
      <c r="C170" s="113" t="s">
        <v>147</v>
      </c>
      <c r="D170" s="114" t="s">
        <v>19</v>
      </c>
      <c r="E170" s="115">
        <f t="shared" si="151"/>
        <v>35.1</v>
      </c>
      <c r="F170" s="116">
        <v>0</v>
      </c>
      <c r="G170" s="116">
        <f t="shared" si="152"/>
        <v>16.666666666666668</v>
      </c>
      <c r="H170" s="116">
        <v>20</v>
      </c>
      <c r="I170" s="116">
        <f t="shared" si="187"/>
        <v>0</v>
      </c>
      <c r="J170" s="115">
        <v>0</v>
      </c>
      <c r="K170" s="116">
        <f t="shared" si="153"/>
        <v>12.916666666666668</v>
      </c>
      <c r="L170" s="116">
        <v>15.5</v>
      </c>
      <c r="M170" s="116">
        <f t="shared" si="188"/>
        <v>0</v>
      </c>
      <c r="N170" s="117">
        <v>0</v>
      </c>
      <c r="O170" s="116">
        <f t="shared" si="154"/>
        <v>4.666666666666667</v>
      </c>
      <c r="P170" s="116">
        <v>5.6</v>
      </c>
      <c r="Q170" s="116">
        <f t="shared" si="189"/>
        <v>0</v>
      </c>
      <c r="R170" s="140">
        <v>35.1</v>
      </c>
      <c r="S170" s="116">
        <f t="shared" si="162"/>
        <v>15.583333333333334</v>
      </c>
      <c r="T170" s="116">
        <v>18.7</v>
      </c>
      <c r="U170" s="116">
        <f t="shared" si="190"/>
        <v>656.37</v>
      </c>
      <c r="V170" s="116">
        <v>0</v>
      </c>
      <c r="W170" s="116">
        <f t="shared" si="155"/>
        <v>6.416666666666667</v>
      </c>
      <c r="X170" s="116">
        <v>7.7</v>
      </c>
      <c r="Y170" s="116">
        <f t="shared" si="191"/>
        <v>0</v>
      </c>
      <c r="Z170" s="115">
        <v>0</v>
      </c>
      <c r="AA170" s="116">
        <f t="shared" si="156"/>
        <v>6</v>
      </c>
      <c r="AB170" s="116">
        <v>7.2</v>
      </c>
      <c r="AC170" s="116">
        <f t="shared" si="192"/>
        <v>0</v>
      </c>
      <c r="AD170" s="116">
        <v>0</v>
      </c>
      <c r="AE170" s="116">
        <f t="shared" si="157"/>
        <v>4.666666666666667</v>
      </c>
      <c r="AF170" s="116">
        <v>5.6</v>
      </c>
      <c r="AG170" s="116">
        <f t="shared" si="193"/>
        <v>0</v>
      </c>
      <c r="AH170" s="117">
        <v>0</v>
      </c>
      <c r="AI170" s="116">
        <f t="shared" si="158"/>
        <v>8.3333333333333339</v>
      </c>
      <c r="AJ170" s="116">
        <v>10</v>
      </c>
      <c r="AK170" s="116">
        <f t="shared" si="194"/>
        <v>0</v>
      </c>
      <c r="AL170" s="117">
        <v>0</v>
      </c>
      <c r="AM170" s="116">
        <f t="shared" si="159"/>
        <v>12.750000000000002</v>
      </c>
      <c r="AN170" s="116">
        <v>15.3</v>
      </c>
      <c r="AO170" s="116">
        <f t="shared" si="195"/>
        <v>0</v>
      </c>
      <c r="AP170" s="116">
        <f t="shared" si="160"/>
        <v>546.97500000000002</v>
      </c>
      <c r="AQ170" s="116">
        <f t="shared" si="186"/>
        <v>656.37</v>
      </c>
      <c r="AR170" s="117">
        <v>0</v>
      </c>
      <c r="AS170" s="116" t="s">
        <v>210</v>
      </c>
      <c r="AT170" s="118">
        <v>0</v>
      </c>
      <c r="AU170" s="118">
        <f t="shared" si="161"/>
        <v>6.1000000000000005</v>
      </c>
      <c r="AV170" s="144">
        <v>7.32</v>
      </c>
      <c r="AW170" s="118">
        <f t="shared" si="196"/>
        <v>0</v>
      </c>
      <c r="AX170" s="118">
        <f t="shared" si="198"/>
        <v>0</v>
      </c>
      <c r="AY170" s="119">
        <f t="shared" si="185"/>
        <v>546.97500000000002</v>
      </c>
      <c r="AZ170" s="120">
        <f t="shared" si="185"/>
        <v>656.37</v>
      </c>
      <c r="BA170" s="9"/>
      <c r="BB170" s="9"/>
      <c r="BC170" s="9"/>
      <c r="BD170" s="9"/>
      <c r="BE170" s="37"/>
      <c r="BF170" s="37"/>
      <c r="BG170" s="35"/>
      <c r="BH170" s="35"/>
      <c r="BI170" s="35"/>
      <c r="BJ170" s="35"/>
      <c r="BK170" s="35"/>
      <c r="BL170" s="35"/>
      <c r="BM170" s="35"/>
      <c r="BN170" s="35"/>
      <c r="BO170" s="35"/>
      <c r="BP170" s="35"/>
      <c r="BQ170" s="35"/>
      <c r="BR170" s="35"/>
      <c r="BS170" s="35"/>
      <c r="BT170" s="35"/>
      <c r="BU170" s="35"/>
      <c r="BV170" s="35"/>
      <c r="BW170" s="35"/>
      <c r="BX170" s="35"/>
      <c r="BY170" s="35"/>
      <c r="BZ170" s="35"/>
      <c r="CA170" s="35"/>
      <c r="CB170" s="35"/>
      <c r="CC170" s="35"/>
      <c r="CD170" s="35"/>
      <c r="CE170" s="35"/>
      <c r="CF170" s="35"/>
      <c r="CG170" s="35"/>
      <c r="CH170" s="35"/>
      <c r="CI170" s="35"/>
      <c r="CJ170" s="35"/>
      <c r="CK170" s="35"/>
      <c r="CL170" s="35"/>
      <c r="CM170" s="35"/>
      <c r="CN170" s="35"/>
      <c r="CO170" s="35"/>
    </row>
    <row r="171" spans="1:93" s="4" customFormat="1" ht="228.75" outlineLevel="1" x14ac:dyDescent="0.25">
      <c r="A171" s="111">
        <f t="shared" ref="A171" si="200">A170+1</f>
        <v>127</v>
      </c>
      <c r="B171" s="112" t="s">
        <v>20</v>
      </c>
      <c r="C171" s="113" t="s">
        <v>148</v>
      </c>
      <c r="D171" s="114" t="s">
        <v>19</v>
      </c>
      <c r="E171" s="115">
        <f t="shared" si="151"/>
        <v>45</v>
      </c>
      <c r="F171" s="116">
        <v>0</v>
      </c>
      <c r="G171" s="116">
        <f t="shared" si="152"/>
        <v>16.666666666666668</v>
      </c>
      <c r="H171" s="116">
        <v>20</v>
      </c>
      <c r="I171" s="116">
        <f t="shared" si="187"/>
        <v>0</v>
      </c>
      <c r="J171" s="115">
        <v>0</v>
      </c>
      <c r="K171" s="116">
        <f t="shared" si="153"/>
        <v>12.916666666666668</v>
      </c>
      <c r="L171" s="116">
        <v>15.5</v>
      </c>
      <c r="M171" s="116">
        <f t="shared" si="188"/>
        <v>0</v>
      </c>
      <c r="N171" s="117">
        <v>0</v>
      </c>
      <c r="O171" s="116">
        <f t="shared" si="154"/>
        <v>4.666666666666667</v>
      </c>
      <c r="P171" s="116">
        <v>5.6</v>
      </c>
      <c r="Q171" s="116">
        <f t="shared" si="189"/>
        <v>0</v>
      </c>
      <c r="R171" s="115">
        <v>45</v>
      </c>
      <c r="S171" s="116">
        <f t="shared" si="162"/>
        <v>15.583333333333334</v>
      </c>
      <c r="T171" s="116">
        <v>18.7</v>
      </c>
      <c r="U171" s="116">
        <f t="shared" si="190"/>
        <v>841.5</v>
      </c>
      <c r="V171" s="116">
        <v>0</v>
      </c>
      <c r="W171" s="116">
        <f t="shared" si="155"/>
        <v>6.416666666666667</v>
      </c>
      <c r="X171" s="116">
        <v>7.7</v>
      </c>
      <c r="Y171" s="116">
        <f t="shared" si="191"/>
        <v>0</v>
      </c>
      <c r="Z171" s="115">
        <v>0</v>
      </c>
      <c r="AA171" s="116">
        <f t="shared" si="156"/>
        <v>6</v>
      </c>
      <c r="AB171" s="116">
        <v>7.2</v>
      </c>
      <c r="AC171" s="116">
        <f t="shared" si="192"/>
        <v>0</v>
      </c>
      <c r="AD171" s="116">
        <v>0</v>
      </c>
      <c r="AE171" s="116">
        <f t="shared" si="157"/>
        <v>4.666666666666667</v>
      </c>
      <c r="AF171" s="116">
        <v>5.6</v>
      </c>
      <c r="AG171" s="116">
        <f t="shared" si="193"/>
        <v>0</v>
      </c>
      <c r="AH171" s="117">
        <v>0</v>
      </c>
      <c r="AI171" s="116">
        <f t="shared" si="158"/>
        <v>8.3333333333333339</v>
      </c>
      <c r="AJ171" s="116">
        <v>10</v>
      </c>
      <c r="AK171" s="116">
        <f t="shared" si="194"/>
        <v>0</v>
      </c>
      <c r="AL171" s="117">
        <v>0</v>
      </c>
      <c r="AM171" s="116">
        <f t="shared" si="159"/>
        <v>12.750000000000002</v>
      </c>
      <c r="AN171" s="116">
        <v>15.3</v>
      </c>
      <c r="AO171" s="116">
        <f t="shared" si="195"/>
        <v>0</v>
      </c>
      <c r="AP171" s="116">
        <f t="shared" si="160"/>
        <v>701.25</v>
      </c>
      <c r="AQ171" s="116">
        <f t="shared" si="186"/>
        <v>841.5</v>
      </c>
      <c r="AR171" s="117">
        <v>0</v>
      </c>
      <c r="AS171" s="116" t="s">
        <v>210</v>
      </c>
      <c r="AT171" s="118">
        <v>0</v>
      </c>
      <c r="AU171" s="118">
        <f t="shared" si="161"/>
        <v>6.1000000000000005</v>
      </c>
      <c r="AV171" s="144">
        <v>7.32</v>
      </c>
      <c r="AW171" s="118">
        <f t="shared" si="196"/>
        <v>0</v>
      </c>
      <c r="AX171" s="118">
        <f t="shared" si="198"/>
        <v>0</v>
      </c>
      <c r="AY171" s="119">
        <f t="shared" si="185"/>
        <v>701.25</v>
      </c>
      <c r="AZ171" s="120">
        <f t="shared" si="185"/>
        <v>841.5</v>
      </c>
      <c r="BA171" s="9"/>
      <c r="BB171" s="9"/>
      <c r="BC171" s="9"/>
      <c r="BD171" s="9"/>
      <c r="BE171" s="37"/>
      <c r="BF171" s="37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</row>
    <row r="172" spans="1:93" s="4" customFormat="1" ht="228.75" outlineLevel="1" x14ac:dyDescent="0.25">
      <c r="A172" s="111">
        <v>128</v>
      </c>
      <c r="B172" s="112" t="s">
        <v>182</v>
      </c>
      <c r="C172" s="113" t="s">
        <v>234</v>
      </c>
      <c r="D172" s="114" t="s">
        <v>19</v>
      </c>
      <c r="E172" s="115">
        <f t="shared" si="151"/>
        <v>238.2</v>
      </c>
      <c r="F172" s="116">
        <v>0</v>
      </c>
      <c r="G172" s="116">
        <f t="shared" ref="G172" si="201">H172/1.2</f>
        <v>16.666666666666668</v>
      </c>
      <c r="H172" s="116">
        <v>20</v>
      </c>
      <c r="I172" s="116">
        <f t="shared" si="187"/>
        <v>0</v>
      </c>
      <c r="J172" s="115">
        <v>0</v>
      </c>
      <c r="K172" s="116">
        <f t="shared" ref="K172" si="202">L172/1.2</f>
        <v>12.916666666666668</v>
      </c>
      <c r="L172" s="116">
        <v>15.5</v>
      </c>
      <c r="M172" s="116">
        <f t="shared" si="188"/>
        <v>0</v>
      </c>
      <c r="N172" s="117">
        <v>0</v>
      </c>
      <c r="O172" s="116">
        <f t="shared" ref="O172" si="203">P172/1.2</f>
        <v>4.666666666666667</v>
      </c>
      <c r="P172" s="116">
        <v>5.6</v>
      </c>
      <c r="Q172" s="116">
        <f t="shared" si="189"/>
        <v>0</v>
      </c>
      <c r="R172" s="115">
        <v>219.2</v>
      </c>
      <c r="S172" s="116">
        <f t="shared" si="162"/>
        <v>15.583333333333334</v>
      </c>
      <c r="T172" s="116">
        <v>18.7</v>
      </c>
      <c r="U172" s="116">
        <f t="shared" si="190"/>
        <v>4099.04</v>
      </c>
      <c r="V172" s="116">
        <v>0</v>
      </c>
      <c r="W172" s="116">
        <f t="shared" ref="W172" si="204">X172/1.2</f>
        <v>6.416666666666667</v>
      </c>
      <c r="X172" s="116">
        <v>7.7</v>
      </c>
      <c r="Y172" s="116">
        <f t="shared" si="191"/>
        <v>0</v>
      </c>
      <c r="Z172" s="115">
        <v>6.7</v>
      </c>
      <c r="AA172" s="116">
        <f t="shared" ref="AA172" si="205">AB172/1.2</f>
        <v>6</v>
      </c>
      <c r="AB172" s="116">
        <v>7.2</v>
      </c>
      <c r="AC172" s="116">
        <f t="shared" si="192"/>
        <v>48.24</v>
      </c>
      <c r="AD172" s="116">
        <v>0</v>
      </c>
      <c r="AE172" s="116">
        <f t="shared" ref="AE172" si="206">AF172/1.2</f>
        <v>4.666666666666667</v>
      </c>
      <c r="AF172" s="116">
        <v>5.6</v>
      </c>
      <c r="AG172" s="116">
        <f t="shared" si="193"/>
        <v>0</v>
      </c>
      <c r="AH172" s="117">
        <v>8.3000000000000007</v>
      </c>
      <c r="AI172" s="116">
        <f t="shared" ref="AI172" si="207">AJ172/1.2</f>
        <v>8.3333333333333339</v>
      </c>
      <c r="AJ172" s="116">
        <v>10</v>
      </c>
      <c r="AK172" s="116">
        <f t="shared" si="194"/>
        <v>83</v>
      </c>
      <c r="AL172" s="117">
        <v>4</v>
      </c>
      <c r="AM172" s="116">
        <f t="shared" si="159"/>
        <v>12.750000000000002</v>
      </c>
      <c r="AN172" s="116">
        <v>15.3</v>
      </c>
      <c r="AO172" s="116">
        <f t="shared" si="195"/>
        <v>61.2</v>
      </c>
      <c r="AP172" s="116">
        <f t="shared" ref="AP172" si="208">AQ172/1.2</f>
        <v>3576.2333333333331</v>
      </c>
      <c r="AQ172" s="116">
        <f t="shared" si="186"/>
        <v>4291.4799999999996</v>
      </c>
      <c r="AR172" s="117">
        <v>0</v>
      </c>
      <c r="AS172" s="116" t="s">
        <v>210</v>
      </c>
      <c r="AT172" s="118">
        <v>0</v>
      </c>
      <c r="AU172" s="118">
        <f t="shared" ref="AU172" si="209">AV172/1.2</f>
        <v>6.1000000000000005</v>
      </c>
      <c r="AV172" s="144">
        <v>7.32</v>
      </c>
      <c r="AW172" s="118">
        <f t="shared" si="196"/>
        <v>0</v>
      </c>
      <c r="AX172" s="118">
        <f t="shared" si="198"/>
        <v>0</v>
      </c>
      <c r="AY172" s="119">
        <f t="shared" si="185"/>
        <v>3576.2333333333331</v>
      </c>
      <c r="AZ172" s="120">
        <f t="shared" si="185"/>
        <v>4291.4799999999996</v>
      </c>
      <c r="BA172" s="9"/>
      <c r="BB172" s="9"/>
      <c r="BC172" s="9"/>
      <c r="BD172" s="9"/>
      <c r="BE172" s="37"/>
      <c r="BF172" s="37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</row>
    <row r="173" spans="1:93" ht="45" x14ac:dyDescent="0.6">
      <c r="A173" s="169" t="s">
        <v>183</v>
      </c>
      <c r="B173" s="170"/>
      <c r="C173" s="171"/>
      <c r="D173" s="141"/>
      <c r="E173" s="142">
        <f>SUM(E13:E172)</f>
        <v>104991.34000000001</v>
      </c>
      <c r="F173" s="142">
        <f>SUM(F13:F172)</f>
        <v>0</v>
      </c>
      <c r="G173" s="142"/>
      <c r="H173" s="142"/>
      <c r="I173" s="142">
        <f>SUM(I13:I172)</f>
        <v>0</v>
      </c>
      <c r="J173" s="142">
        <f>SUM(J13:J172)</f>
        <v>28500.939999999995</v>
      </c>
      <c r="K173" s="142"/>
      <c r="L173" s="142"/>
      <c r="M173" s="142">
        <f>SUM(M13:M172)</f>
        <v>441764.57000000012</v>
      </c>
      <c r="N173" s="142">
        <f>SUM(N13:N172)</f>
        <v>22831.410000000003</v>
      </c>
      <c r="O173" s="142"/>
      <c r="P173" s="142"/>
      <c r="Q173" s="142">
        <f>SUM(Q13:Q172)</f>
        <v>127855.89599999996</v>
      </c>
      <c r="R173" s="142">
        <f>SUM(R13:R172)</f>
        <v>438.09999999999997</v>
      </c>
      <c r="S173" s="142"/>
      <c r="T173" s="142"/>
      <c r="U173" s="142">
        <f>SUM(U13:U172)</f>
        <v>8192.4699999999993</v>
      </c>
      <c r="V173" s="142">
        <f>SUM(V13:V172)</f>
        <v>6567.8000000000011</v>
      </c>
      <c r="W173" s="142"/>
      <c r="X173" s="142"/>
      <c r="Y173" s="142">
        <f>SUM(Y13:Y172)</f>
        <v>50572.05999999999</v>
      </c>
      <c r="Z173" s="142">
        <f>SUM(Z13:Z172)</f>
        <v>23680.189999999995</v>
      </c>
      <c r="AA173" s="142"/>
      <c r="AB173" s="142"/>
      <c r="AC173" s="142">
        <f>SUM(AC13:AC172)</f>
        <v>170497.36800000002</v>
      </c>
      <c r="AD173" s="142">
        <f>SUM(AD13:AD172)</f>
        <v>215.1</v>
      </c>
      <c r="AE173" s="142"/>
      <c r="AF173" s="142"/>
      <c r="AG173" s="142">
        <f>SUM(AG13:AG172)</f>
        <v>1204.56</v>
      </c>
      <c r="AH173" s="142">
        <f>SUM(AH13:AH172)</f>
        <v>20556.300000000003</v>
      </c>
      <c r="AI173" s="142"/>
      <c r="AJ173" s="142"/>
      <c r="AK173" s="142">
        <f>SUM(AK13:AK172)</f>
        <v>205563</v>
      </c>
      <c r="AL173" s="142">
        <f>SUM(AL13:AL172)</f>
        <v>2201.4999999999995</v>
      </c>
      <c r="AM173" s="142"/>
      <c r="AN173" s="142"/>
      <c r="AO173" s="142">
        <f>SUM(AO13:AO172)</f>
        <v>33682.949999999983</v>
      </c>
      <c r="AP173" s="142">
        <f>SUM(AP13:AP172)</f>
        <v>866110.72833333374</v>
      </c>
      <c r="AQ173" s="142">
        <f>SUM(AQ13:AQ172)</f>
        <v>1039332.8739999996</v>
      </c>
      <c r="AR173" s="142">
        <f>SUM(AR13:AR172)</f>
        <v>98224.1</v>
      </c>
      <c r="AS173" s="142"/>
      <c r="AT173" s="143">
        <f>SUM(AT13:AT172)</f>
        <v>0</v>
      </c>
      <c r="AU173" s="143"/>
      <c r="AV173" s="143"/>
      <c r="AW173" s="142">
        <f>SUM(AW13:AW172)</f>
        <v>599167.01</v>
      </c>
      <c r="AX173" s="142">
        <f>SUM(AX13:AX172)</f>
        <v>719000.41199999989</v>
      </c>
      <c r="AY173" s="142">
        <f>SUM(AY13:AY172)</f>
        <v>1465277.7383333337</v>
      </c>
      <c r="AZ173" s="145">
        <f>SUM(AZ13:AZ172)</f>
        <v>1758333.3259999997</v>
      </c>
      <c r="BB173" s="67"/>
      <c r="BC173" s="49"/>
      <c r="BE173" s="49"/>
      <c r="BF173" s="49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</row>
    <row r="174" spans="1:93" s="7" customFormat="1" ht="45" x14ac:dyDescent="0.6">
      <c r="A174" s="93"/>
      <c r="B174" s="93"/>
      <c r="C174" s="93"/>
      <c r="D174" s="94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F174" s="95"/>
      <c r="AG174" s="95"/>
      <c r="AH174" s="95"/>
      <c r="AI174" s="95"/>
      <c r="AJ174" s="95"/>
      <c r="AK174" s="95"/>
      <c r="AL174" s="95"/>
      <c r="AM174" s="95"/>
      <c r="AN174" s="95"/>
      <c r="AO174" s="95"/>
      <c r="AP174" s="95"/>
      <c r="AQ174" s="95"/>
      <c r="AR174" s="95"/>
      <c r="AS174" s="95"/>
      <c r="AT174" s="95"/>
      <c r="AU174" s="95"/>
      <c r="AV174" s="95"/>
      <c r="AW174" s="95"/>
      <c r="AX174" s="95"/>
      <c r="AY174" s="96"/>
      <c r="AZ174" s="96"/>
      <c r="BB174" s="92"/>
      <c r="BC174" s="49"/>
      <c r="BD174" s="49"/>
      <c r="BE174" s="49"/>
      <c r="BF174" s="49"/>
    </row>
    <row r="175" spans="1:93" s="7" customFormat="1" ht="90" customHeight="1" x14ac:dyDescent="1.1499999999999999">
      <c r="A175" s="93"/>
      <c r="B175" s="93"/>
      <c r="C175" s="93"/>
      <c r="D175" s="97"/>
      <c r="E175" s="98"/>
      <c r="F175" s="98"/>
      <c r="G175" s="98"/>
      <c r="H175" s="98"/>
      <c r="I175" s="95"/>
      <c r="J175" s="95"/>
      <c r="K175" s="95"/>
      <c r="L175" s="95"/>
      <c r="M175" s="95"/>
      <c r="N175" s="95"/>
      <c r="O175" s="95"/>
      <c r="P175" s="95"/>
      <c r="Q175" s="95"/>
      <c r="R175" s="95"/>
      <c r="S175" s="95"/>
      <c r="T175" s="95"/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F175" s="95"/>
      <c r="AG175" s="95"/>
      <c r="AH175" s="95"/>
      <c r="AI175" s="95"/>
      <c r="AJ175" s="95"/>
      <c r="AK175" s="95"/>
      <c r="AL175" s="95"/>
      <c r="AM175" s="95"/>
      <c r="AN175" s="95"/>
      <c r="AO175" s="182"/>
      <c r="AP175" s="182"/>
      <c r="AQ175" s="182"/>
      <c r="AR175" s="182"/>
      <c r="AS175" s="182"/>
      <c r="AT175" s="95"/>
      <c r="AU175" s="95"/>
      <c r="AV175" s="95"/>
      <c r="AW175" s="95"/>
      <c r="AX175" s="95"/>
      <c r="AY175" s="96"/>
      <c r="AZ175" s="96"/>
      <c r="BB175" s="92"/>
      <c r="BC175" s="49"/>
      <c r="BD175" s="49"/>
      <c r="BE175" s="49"/>
      <c r="BF175" s="49"/>
    </row>
    <row r="176" spans="1:93" s="7" customFormat="1" ht="90" customHeight="1" x14ac:dyDescent="1.1499999999999999">
      <c r="A176" s="93"/>
      <c r="B176" s="93"/>
      <c r="C176" s="93"/>
      <c r="D176" s="97"/>
      <c r="E176" s="98"/>
      <c r="F176" s="98"/>
      <c r="G176" s="98"/>
      <c r="H176" s="98"/>
      <c r="I176" s="95"/>
      <c r="J176" s="95"/>
      <c r="K176" s="95"/>
      <c r="L176" s="95"/>
      <c r="M176" s="95"/>
      <c r="N176" s="95"/>
      <c r="O176" s="95"/>
      <c r="P176" s="95"/>
      <c r="Q176" s="95"/>
      <c r="R176" s="95"/>
      <c r="S176" s="95"/>
      <c r="T176" s="95"/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F176" s="95"/>
      <c r="AG176" s="95"/>
      <c r="AH176" s="95"/>
      <c r="AI176" s="95"/>
      <c r="AJ176" s="95"/>
      <c r="AK176" s="95"/>
      <c r="AL176" s="95"/>
      <c r="AM176" s="95"/>
      <c r="AN176" s="95"/>
      <c r="AO176" s="182"/>
      <c r="AP176" s="182"/>
      <c r="AQ176" s="182"/>
      <c r="AR176" s="182"/>
      <c r="AS176" s="182"/>
      <c r="AT176" s="95"/>
      <c r="AU176" s="95"/>
      <c r="AV176" s="95"/>
      <c r="AW176" s="95"/>
      <c r="AX176" s="95"/>
      <c r="AY176" s="96"/>
      <c r="AZ176" s="96"/>
      <c r="BB176" s="92"/>
      <c r="BC176" s="49"/>
      <c r="BD176" s="49"/>
      <c r="BE176" s="49"/>
      <c r="BF176" s="49"/>
    </row>
    <row r="177" spans="1:93" s="7" customFormat="1" ht="90" customHeight="1" x14ac:dyDescent="1.1499999999999999">
      <c r="A177" s="93"/>
      <c r="B177" s="93"/>
      <c r="C177" s="93"/>
      <c r="D177" s="97"/>
      <c r="E177" s="98"/>
      <c r="F177" s="98"/>
      <c r="G177" s="98"/>
      <c r="H177" s="98"/>
      <c r="I177" s="95"/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F177" s="95"/>
      <c r="AG177" s="95"/>
      <c r="AH177" s="95"/>
      <c r="AI177" s="95"/>
      <c r="AJ177" s="95"/>
      <c r="AK177" s="95"/>
      <c r="AL177" s="95"/>
      <c r="AM177" s="95"/>
      <c r="AN177" s="95"/>
      <c r="AO177" s="182"/>
      <c r="AP177" s="182"/>
      <c r="AQ177" s="182"/>
      <c r="AR177" s="182"/>
      <c r="AS177" s="182"/>
      <c r="AT177" s="95"/>
      <c r="AU177" s="95"/>
      <c r="AV177" s="95"/>
      <c r="AW177" s="95"/>
      <c r="AX177" s="95"/>
      <c r="AY177" s="96"/>
      <c r="AZ177" s="96"/>
      <c r="BB177" s="92"/>
      <c r="BC177" s="49"/>
      <c r="BD177" s="49"/>
      <c r="BE177" s="49"/>
      <c r="BF177" s="49"/>
    </row>
    <row r="178" spans="1:93" s="7" customFormat="1" ht="90" x14ac:dyDescent="0.8">
      <c r="A178" s="93"/>
      <c r="B178" s="93"/>
      <c r="C178" s="93"/>
      <c r="D178" s="99"/>
      <c r="E178" s="98"/>
      <c r="F178" s="98"/>
      <c r="G178" s="98"/>
      <c r="H178" s="98"/>
      <c r="I178" s="95"/>
      <c r="J178" s="95"/>
      <c r="K178" s="95"/>
      <c r="L178" s="95"/>
      <c r="M178" s="95"/>
      <c r="N178" s="95"/>
      <c r="O178" s="95"/>
      <c r="P178" s="95"/>
      <c r="Q178" s="95"/>
      <c r="R178" s="95"/>
      <c r="S178" s="95"/>
      <c r="T178" s="95"/>
      <c r="U178" s="95"/>
      <c r="V178" s="95"/>
      <c r="W178" s="95"/>
      <c r="X178" s="95"/>
      <c r="Y178" s="95"/>
      <c r="Z178" s="95"/>
      <c r="AA178" s="95"/>
      <c r="AB178" s="95"/>
      <c r="AC178" s="95"/>
      <c r="AD178" s="95"/>
      <c r="AE178" s="95"/>
      <c r="AF178" s="95"/>
      <c r="AG178" s="95"/>
      <c r="AH178" s="95"/>
      <c r="AI178" s="95"/>
      <c r="AJ178" s="95"/>
      <c r="AK178" s="95"/>
      <c r="AL178" s="95"/>
      <c r="AM178" s="95"/>
      <c r="AN178" s="95"/>
      <c r="AO178" s="95"/>
      <c r="AP178" s="95"/>
      <c r="AQ178" s="95"/>
      <c r="AR178" s="95"/>
      <c r="AS178" s="95"/>
      <c r="AT178" s="95"/>
      <c r="AU178" s="95"/>
      <c r="AV178" s="95"/>
      <c r="AW178" s="95"/>
      <c r="AX178" s="95"/>
      <c r="AY178" s="96"/>
      <c r="AZ178" s="96"/>
      <c r="BB178" s="92"/>
      <c r="BC178" s="49"/>
      <c r="BD178" s="49"/>
      <c r="BE178" s="49"/>
      <c r="BF178" s="49"/>
    </row>
    <row r="179" spans="1:93" s="7" customFormat="1" ht="90" x14ac:dyDescent="1.1499999999999999">
      <c r="A179" s="93"/>
      <c r="B179" s="93"/>
      <c r="C179" s="93"/>
      <c r="D179" s="97"/>
      <c r="E179" s="98"/>
      <c r="F179" s="98"/>
      <c r="G179" s="98"/>
      <c r="H179" s="98"/>
      <c r="I179" s="95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F179" s="95"/>
      <c r="AG179" s="95"/>
      <c r="AH179" s="95"/>
      <c r="AI179" s="95"/>
      <c r="AJ179" s="95"/>
      <c r="AK179" s="95"/>
      <c r="AL179" s="95"/>
      <c r="AM179" s="95"/>
      <c r="AN179" s="95"/>
      <c r="AO179" s="95"/>
      <c r="AP179" s="95"/>
      <c r="AQ179" s="95"/>
      <c r="AR179" s="95"/>
      <c r="AS179" s="95"/>
      <c r="AT179" s="95"/>
      <c r="AU179" s="95"/>
      <c r="AV179" s="95"/>
      <c r="AW179" s="95"/>
      <c r="AX179" s="95"/>
      <c r="AY179" s="96"/>
      <c r="AZ179" s="96"/>
      <c r="BB179" s="92"/>
      <c r="BC179" s="49"/>
      <c r="BD179" s="49"/>
      <c r="BE179" s="49"/>
      <c r="BF179" s="49"/>
    </row>
    <row r="180" spans="1:93" s="7" customFormat="1" ht="45" x14ac:dyDescent="0.6">
      <c r="A180" s="93"/>
      <c r="B180" s="93"/>
      <c r="C180" s="93"/>
      <c r="D180" s="94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F180" s="95"/>
      <c r="AG180" s="95"/>
      <c r="AH180" s="95"/>
      <c r="AI180" s="95"/>
      <c r="AJ180" s="95"/>
      <c r="AK180" s="95"/>
      <c r="AL180" s="95"/>
      <c r="AM180" s="95"/>
      <c r="AN180" s="95"/>
      <c r="AO180" s="95"/>
      <c r="AP180" s="95"/>
      <c r="AQ180" s="95"/>
      <c r="AR180" s="95"/>
      <c r="AS180" s="95"/>
      <c r="AT180" s="95"/>
      <c r="AU180" s="95"/>
      <c r="AV180" s="95"/>
      <c r="AW180" s="95"/>
      <c r="AX180" s="95"/>
      <c r="AY180" s="96"/>
      <c r="AZ180" s="96"/>
      <c r="BB180" s="92"/>
      <c r="BC180" s="49"/>
      <c r="BD180" s="49"/>
      <c r="BE180" s="49"/>
      <c r="BF180" s="49"/>
    </row>
    <row r="181" spans="1:93" s="7" customFormat="1" ht="45" x14ac:dyDescent="0.6">
      <c r="A181" s="93"/>
      <c r="B181" s="93"/>
      <c r="C181" s="93"/>
      <c r="D181" s="94"/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  <c r="X181" s="95"/>
      <c r="Y181" s="95"/>
      <c r="Z181" s="95"/>
      <c r="AA181" s="95"/>
      <c r="AB181" s="95"/>
      <c r="AC181" s="95"/>
      <c r="AD181" s="95"/>
      <c r="AE181" s="95"/>
      <c r="AF181" s="95"/>
      <c r="AG181" s="95"/>
      <c r="AH181" s="95"/>
      <c r="AI181" s="95"/>
      <c r="AJ181" s="95"/>
      <c r="AK181" s="95"/>
      <c r="AL181" s="95"/>
      <c r="AM181" s="95"/>
      <c r="AN181" s="95"/>
      <c r="AO181" s="95"/>
      <c r="AP181" s="95"/>
      <c r="AQ181" s="95"/>
      <c r="AR181" s="95"/>
      <c r="AS181" s="95"/>
      <c r="AT181" s="95"/>
      <c r="AU181" s="95"/>
      <c r="AV181" s="95"/>
      <c r="AW181" s="95"/>
      <c r="AX181" s="95"/>
      <c r="AY181" s="96"/>
      <c r="AZ181" s="96"/>
      <c r="BB181" s="92"/>
      <c r="BC181" s="49"/>
      <c r="BD181" s="49"/>
      <c r="BE181" s="49"/>
      <c r="BF181" s="49"/>
    </row>
    <row r="182" spans="1:93" s="7" customFormat="1" ht="45" x14ac:dyDescent="0.6">
      <c r="A182" s="93"/>
      <c r="B182" s="93"/>
      <c r="C182" s="93"/>
      <c r="D182" s="94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  <c r="AA182" s="95"/>
      <c r="AB182" s="95"/>
      <c r="AC182" s="95"/>
      <c r="AD182" s="95"/>
      <c r="AE182" s="95"/>
      <c r="AF182" s="95"/>
      <c r="AG182" s="95"/>
      <c r="AH182" s="95"/>
      <c r="AI182" s="95"/>
      <c r="AJ182" s="95"/>
      <c r="AK182" s="95"/>
      <c r="AL182" s="95"/>
      <c r="AM182" s="95"/>
      <c r="AN182" s="95"/>
      <c r="AO182" s="95"/>
      <c r="AP182" s="95"/>
      <c r="AQ182" s="95"/>
      <c r="AR182" s="95"/>
      <c r="AS182" s="95"/>
      <c r="AT182" s="95"/>
      <c r="AU182" s="95"/>
      <c r="AV182" s="95"/>
      <c r="AW182" s="95"/>
      <c r="AX182" s="95"/>
      <c r="AY182" s="96"/>
      <c r="AZ182" s="96"/>
      <c r="BB182" s="92"/>
      <c r="BC182" s="49"/>
      <c r="BD182" s="49"/>
      <c r="BE182" s="49"/>
      <c r="BF182" s="49"/>
    </row>
    <row r="183" spans="1:93" s="72" customFormat="1" ht="20.25" x14ac:dyDescent="0.3">
      <c r="D183" s="73"/>
      <c r="E183" s="74"/>
      <c r="F183" s="75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  <c r="AC183" s="76"/>
      <c r="AD183" s="76"/>
      <c r="AE183" s="76"/>
      <c r="AF183" s="76"/>
      <c r="AG183" s="76"/>
      <c r="AH183" s="76"/>
      <c r="AI183" s="76"/>
      <c r="AJ183" s="76"/>
      <c r="AK183" s="76"/>
      <c r="AL183" s="76"/>
      <c r="AM183" s="76"/>
      <c r="AN183" s="76"/>
      <c r="AO183" s="76"/>
      <c r="AP183" s="77"/>
      <c r="AQ183" s="77"/>
      <c r="AR183" s="76"/>
      <c r="AS183" s="76"/>
      <c r="AT183" s="76"/>
      <c r="AU183" s="76"/>
      <c r="AV183" s="76"/>
      <c r="AW183" s="75"/>
      <c r="AX183" s="75"/>
      <c r="AY183" s="78"/>
      <c r="AZ183" s="79"/>
      <c r="BA183" s="80"/>
      <c r="BB183" s="81"/>
      <c r="BC183" s="81"/>
      <c r="BD183" s="82"/>
      <c r="BE183" s="82"/>
      <c r="BF183" s="82"/>
      <c r="CJ183" s="84"/>
      <c r="CK183" s="84"/>
      <c r="CL183" s="84"/>
      <c r="CM183" s="84"/>
      <c r="CN183" s="84"/>
      <c r="CO183" s="84"/>
    </row>
    <row r="184" spans="1:93" s="72" customFormat="1" ht="20.25" x14ac:dyDescent="0.3">
      <c r="D184" s="73"/>
      <c r="E184" s="74"/>
      <c r="F184" s="83"/>
      <c r="G184" s="76"/>
      <c r="H184" s="76"/>
      <c r="I184" s="76"/>
      <c r="J184" s="75"/>
      <c r="K184" s="76"/>
      <c r="L184" s="76"/>
      <c r="M184" s="76"/>
      <c r="N184" s="75"/>
      <c r="O184" s="76"/>
      <c r="P184" s="76"/>
      <c r="Q184" s="76"/>
      <c r="R184" s="75"/>
      <c r="S184" s="76"/>
      <c r="T184" s="76"/>
      <c r="U184" s="76"/>
      <c r="V184" s="75"/>
      <c r="W184" s="76"/>
      <c r="X184" s="76"/>
      <c r="Y184" s="76"/>
      <c r="Z184" s="75"/>
      <c r="AA184" s="76"/>
      <c r="AB184" s="76"/>
      <c r="AC184" s="76"/>
      <c r="AD184" s="75"/>
      <c r="AE184" s="76"/>
      <c r="AF184" s="76"/>
      <c r="AG184" s="76"/>
      <c r="AH184" s="75"/>
      <c r="AI184" s="76"/>
      <c r="AJ184" s="76"/>
      <c r="AK184" s="76"/>
      <c r="AL184" s="75"/>
      <c r="AM184" s="76"/>
      <c r="AN184" s="76"/>
      <c r="AO184" s="76"/>
      <c r="AP184" s="76"/>
      <c r="AQ184" s="76"/>
      <c r="AR184" s="84"/>
      <c r="AT184" s="84"/>
      <c r="AU184" s="84"/>
      <c r="AV184" s="84"/>
      <c r="AW184" s="84"/>
      <c r="AX184" s="84"/>
      <c r="AY184" s="85"/>
      <c r="AZ184" s="86"/>
      <c r="BA184" s="87"/>
      <c r="BB184" s="88"/>
      <c r="BC184" s="81"/>
      <c r="BD184" s="82"/>
      <c r="BE184" s="82"/>
      <c r="BF184" s="82"/>
      <c r="CJ184" s="84"/>
      <c r="CK184" s="84"/>
      <c r="CL184" s="84"/>
      <c r="CM184" s="84"/>
      <c r="CN184" s="84"/>
      <c r="CO184" s="84"/>
    </row>
    <row r="185" spans="1:93" s="72" customFormat="1" ht="18.75" x14ac:dyDescent="0.3">
      <c r="D185" s="73"/>
      <c r="E185" s="74"/>
      <c r="F185" s="83"/>
      <c r="G185" s="76"/>
      <c r="H185" s="74"/>
      <c r="I185" s="74"/>
      <c r="J185" s="75"/>
      <c r="K185" s="76"/>
      <c r="L185" s="76"/>
      <c r="M185" s="76"/>
      <c r="N185" s="83"/>
      <c r="O185" s="76"/>
      <c r="P185" s="76"/>
      <c r="Q185" s="76"/>
      <c r="R185" s="75"/>
      <c r="S185" s="76"/>
      <c r="T185" s="76"/>
      <c r="U185" s="76"/>
      <c r="V185" s="75"/>
      <c r="W185" s="76"/>
      <c r="X185" s="76"/>
      <c r="Y185" s="76"/>
      <c r="Z185" s="75"/>
      <c r="AA185" s="76"/>
      <c r="AB185" s="76"/>
      <c r="AC185" s="76"/>
      <c r="AD185" s="75"/>
      <c r="AE185" s="76"/>
      <c r="AF185" s="76"/>
      <c r="AG185" s="76"/>
      <c r="AH185" s="75"/>
      <c r="AI185" s="76"/>
      <c r="AJ185" s="76"/>
      <c r="AK185" s="76"/>
      <c r="AL185" s="75"/>
      <c r="AM185" s="76"/>
      <c r="AN185" s="76"/>
      <c r="AO185" s="76"/>
      <c r="AP185" s="89"/>
      <c r="AQ185" s="89"/>
      <c r="AR185" s="84"/>
      <c r="AT185" s="84"/>
      <c r="AU185" s="84"/>
      <c r="AV185" s="84"/>
      <c r="AW185" s="89"/>
      <c r="AX185" s="89"/>
      <c r="AY185" s="90"/>
      <c r="AZ185" s="86"/>
      <c r="BA185" s="91"/>
      <c r="BB185" s="81"/>
      <c r="BC185" s="82"/>
      <c r="BD185" s="82"/>
      <c r="BE185" s="82"/>
      <c r="BF185" s="82"/>
      <c r="CJ185" s="84"/>
      <c r="CK185" s="84"/>
      <c r="CL185" s="84"/>
      <c r="CM185" s="84"/>
      <c r="CN185" s="84"/>
      <c r="CO185" s="84"/>
    </row>
    <row r="186" spans="1:93" ht="45.75" x14ac:dyDescent="0.35">
      <c r="E186" s="71"/>
      <c r="G186" s="100">
        <v>0.90286670599999996</v>
      </c>
      <c r="AY186" s="70" t="s">
        <v>231</v>
      </c>
      <c r="AZ186" s="66"/>
      <c r="BA186" s="7"/>
      <c r="BB186" s="49"/>
    </row>
    <row r="187" spans="1:93" x14ac:dyDescent="0.25">
      <c r="H187" s="21"/>
      <c r="AY187" s="7"/>
      <c r="AZ187" s="64"/>
      <c r="BA187" s="7"/>
      <c r="BB187" s="49"/>
    </row>
    <row r="188" spans="1:93" ht="18.75" x14ac:dyDescent="0.3">
      <c r="AY188" s="7"/>
      <c r="AZ188" s="65"/>
      <c r="BA188" s="7"/>
      <c r="BB188" s="49"/>
    </row>
    <row r="189" spans="1:93" ht="20.25" x14ac:dyDescent="0.25"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AY189" s="7"/>
      <c r="AZ189" s="64"/>
      <c r="BA189" s="7"/>
      <c r="BB189" s="49"/>
    </row>
    <row r="190" spans="1:93" ht="20.25" x14ac:dyDescent="0.25">
      <c r="C190" s="158"/>
      <c r="D190" s="158"/>
      <c r="E190" s="17"/>
      <c r="F190" s="18"/>
      <c r="G190" s="19"/>
      <c r="H190" s="19"/>
      <c r="I190" s="158"/>
      <c r="J190" s="158"/>
      <c r="K190" s="158"/>
      <c r="L190" s="158"/>
      <c r="M190" s="158"/>
      <c r="N190" s="158"/>
      <c r="P190" s="16"/>
      <c r="Q190" s="46"/>
      <c r="R190" s="16"/>
      <c r="AY190" s="7"/>
      <c r="AZ190" s="64"/>
      <c r="BA190" s="7"/>
      <c r="BB190" s="49"/>
    </row>
    <row r="191" spans="1:93" ht="20.25" x14ac:dyDescent="0.25">
      <c r="C191" s="46"/>
      <c r="D191" s="16"/>
      <c r="E191" s="18"/>
      <c r="F191" s="17"/>
      <c r="G191" s="19"/>
      <c r="H191" s="1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AY191" s="7"/>
      <c r="AZ191" s="64"/>
      <c r="BA191" s="7"/>
      <c r="BB191" s="49"/>
    </row>
    <row r="192" spans="1:93" ht="20.25" x14ac:dyDescent="0.25">
      <c r="C192" s="159"/>
      <c r="D192" s="159"/>
      <c r="E192" s="18"/>
      <c r="F192" s="18"/>
      <c r="G192" s="19"/>
      <c r="H192" s="19"/>
      <c r="I192" s="157"/>
      <c r="J192" s="157"/>
      <c r="K192" s="157"/>
      <c r="L192" s="157"/>
      <c r="M192" s="157"/>
      <c r="N192" s="157"/>
      <c r="O192" s="50"/>
      <c r="P192" s="50"/>
      <c r="Q192" s="50"/>
      <c r="R192" s="50"/>
      <c r="AY192" s="7"/>
      <c r="AZ192" s="64"/>
      <c r="BA192" s="7"/>
      <c r="BB192" s="49"/>
    </row>
    <row r="193" spans="3:46" ht="20.25" x14ac:dyDescent="0.25">
      <c r="C193" s="159"/>
      <c r="D193" s="159"/>
      <c r="E193" s="18"/>
      <c r="F193" s="18"/>
      <c r="G193" s="19"/>
      <c r="H193" s="19"/>
      <c r="I193" s="157"/>
      <c r="J193" s="157"/>
      <c r="K193" s="157"/>
      <c r="L193" s="157"/>
      <c r="M193" s="157"/>
      <c r="N193" s="157"/>
      <c r="O193" s="50"/>
      <c r="P193" s="50"/>
      <c r="Q193" s="50"/>
      <c r="R193" s="50"/>
      <c r="AT193" s="7" t="s">
        <v>231</v>
      </c>
    </row>
    <row r="194" spans="3:46" ht="20.25" x14ac:dyDescent="0.3">
      <c r="C194" s="47"/>
      <c r="E194" s="18"/>
      <c r="F194" s="18"/>
      <c r="G194" s="19"/>
      <c r="H194" s="19"/>
      <c r="M194" s="51"/>
      <c r="N194" s="51"/>
      <c r="O194" s="51"/>
      <c r="P194" s="51"/>
      <c r="Q194" s="51"/>
      <c r="R194" s="51"/>
    </row>
    <row r="195" spans="3:46" ht="20.25" x14ac:dyDescent="0.25">
      <c r="C195" s="159"/>
      <c r="D195" s="159"/>
      <c r="E195" s="18"/>
      <c r="F195" s="18"/>
      <c r="G195" s="19"/>
      <c r="H195" s="19"/>
      <c r="I195" s="51"/>
      <c r="J195" s="51"/>
      <c r="K195" s="51"/>
      <c r="L195" s="51"/>
      <c r="M195" s="51"/>
      <c r="N195" s="51"/>
      <c r="O195" s="51"/>
      <c r="P195" s="51"/>
      <c r="Q195" s="51"/>
      <c r="R195" s="51"/>
    </row>
    <row r="196" spans="3:46" ht="15.75" x14ac:dyDescent="0.25">
      <c r="C196" s="45"/>
      <c r="E196" s="2"/>
      <c r="F196" s="2"/>
      <c r="G196" s="3"/>
      <c r="I196" s="45"/>
      <c r="J196" s="1"/>
      <c r="N196" s="1"/>
    </row>
  </sheetData>
  <mergeCells count="85">
    <mergeCell ref="AW1:AY2"/>
    <mergeCell ref="AO175:AS175"/>
    <mergeCell ref="AO176:AS176"/>
    <mergeCell ref="AO177:AS177"/>
    <mergeCell ref="A1:C1"/>
    <mergeCell ref="A155:C155"/>
    <mergeCell ref="A132:C132"/>
    <mergeCell ref="A135:C135"/>
    <mergeCell ref="A140:C140"/>
    <mergeCell ref="A144:C144"/>
    <mergeCell ref="A109:C109"/>
    <mergeCell ref="A110:C110"/>
    <mergeCell ref="A116:C116"/>
    <mergeCell ref="A120:C120"/>
    <mergeCell ref="A149:C149"/>
    <mergeCell ref="A130:C130"/>
    <mergeCell ref="A5:AZ7"/>
    <mergeCell ref="A8:A10"/>
    <mergeCell ref="A60:C60"/>
    <mergeCell ref="A122:C122"/>
    <mergeCell ref="A124:C124"/>
    <mergeCell ref="AZ8:AZ10"/>
    <mergeCell ref="B9:B10"/>
    <mergeCell ref="C9:C10"/>
    <mergeCell ref="AR8:AT8"/>
    <mergeCell ref="AP8:AP10"/>
    <mergeCell ref="AQ8:AQ10"/>
    <mergeCell ref="AY8:AY10"/>
    <mergeCell ref="E8:AN8"/>
    <mergeCell ref="AR9:AR10"/>
    <mergeCell ref="AS9:AS10"/>
    <mergeCell ref="E9:E10"/>
    <mergeCell ref="A128:C128"/>
    <mergeCell ref="A12:C12"/>
    <mergeCell ref="A38:C38"/>
    <mergeCell ref="A50:C50"/>
    <mergeCell ref="A59:C59"/>
    <mergeCell ref="A64:C64"/>
    <mergeCell ref="A75:C75"/>
    <mergeCell ref="C195:D195"/>
    <mergeCell ref="C193:D193"/>
    <mergeCell ref="C190:D190"/>
    <mergeCell ref="A167:C167"/>
    <mergeCell ref="A173:C173"/>
    <mergeCell ref="AW8:AW10"/>
    <mergeCell ref="AX8:AX10"/>
    <mergeCell ref="F9:AO9"/>
    <mergeCell ref="Q191:R191"/>
    <mergeCell ref="I189:J189"/>
    <mergeCell ref="K189:L189"/>
    <mergeCell ref="M189:N189"/>
    <mergeCell ref="O189:P189"/>
    <mergeCell ref="Q189:R189"/>
    <mergeCell ref="K191:L191"/>
    <mergeCell ref="M191:N191"/>
    <mergeCell ref="O191:P191"/>
    <mergeCell ref="I191:J191"/>
    <mergeCell ref="AT9:AT10"/>
    <mergeCell ref="D9:D10"/>
    <mergeCell ref="B8:D8"/>
    <mergeCell ref="AU8:AU10"/>
    <mergeCell ref="AV8:AV10"/>
    <mergeCell ref="I192:N193"/>
    <mergeCell ref="I190:N190"/>
    <mergeCell ref="C192:D192"/>
    <mergeCell ref="A152:C152"/>
    <mergeCell ref="A101:C101"/>
    <mergeCell ref="A105:C105"/>
    <mergeCell ref="A80:C80"/>
    <mergeCell ref="A81:C81"/>
    <mergeCell ref="A84:C84"/>
    <mergeCell ref="A93:C93"/>
    <mergeCell ref="A94:C94"/>
    <mergeCell ref="A126:C126"/>
    <mergeCell ref="BA58:BC58"/>
    <mergeCell ref="BA22:BC22"/>
    <mergeCell ref="BA157:BC157"/>
    <mergeCell ref="BA123:BD123"/>
    <mergeCell ref="BA150:BD150"/>
    <mergeCell ref="BA120:BB120"/>
    <mergeCell ref="BA119:BD119"/>
    <mergeCell ref="BA121:BD121"/>
    <mergeCell ref="BA117:BD117"/>
    <mergeCell ref="BA118:BD118"/>
    <mergeCell ref="BA151:BD151"/>
  </mergeCells>
  <phoneticPr fontId="0" type="noConversion"/>
  <printOptions horizontalCentered="1"/>
  <pageMargins left="0.19685039370078741" right="0.19685039370078741" top="0.39370078740157483" bottom="0.19685039370078741" header="0" footer="0"/>
  <pageSetup paperSize="9" scale="10" fitToHeight="0" orientation="landscape" r:id="rId1"/>
  <rowBreaks count="4" manualBreakCount="4">
    <brk id="118" max="16383" man="1"/>
    <brk id="141" max="16383" man="1"/>
    <brk id="157" max="16383" man="1"/>
    <brk id="195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FBAD93C6E97184AB4134112F04B867D" ma:contentTypeVersion="0" ma:contentTypeDescription="Создание документа." ma:contentTypeScope="" ma:versionID="ed27ed35a32f4d681b4b2f3806c0396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9DF12F-8BE8-4ADA-A58E-EEB459EBF785}">
  <ds:schemaRefs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0D3FB3-BA3D-49A8-9735-AD981A028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DE73C25-AB03-417C-99B7-C5BBED2AB1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Уборка</vt:lpstr>
      <vt:lpstr>Уборка!Заголовки_для_печати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 Андрей Владимирович</dc:creator>
  <cp:lastModifiedBy>Данилова Татьяна Владимировна</cp:lastModifiedBy>
  <cp:lastPrinted>2021-05-25T03:46:07Z</cp:lastPrinted>
  <dcterms:created xsi:type="dcterms:W3CDTF">2011-06-09T11:01:46Z</dcterms:created>
  <dcterms:modified xsi:type="dcterms:W3CDTF">2021-05-25T04:31:28Z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0x0101006FBAD93C6E97184AB4134112F04B867D</vt:lpwstr>
  </property>
  <property fmtid="{D5CDD505-2E9C-101B-9397-08002B2CF9AE}" pid="3" name="SV_QUERY_LIST_4F35BF76-6C0D-4D9B-82B2-816C12CF3733">
    <vt:lpwstr>empty_477D106A-C0D6-4607-AEBD-E2C9D60EA279</vt:lpwstr>
  </property>
</Properties>
</file>